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codeName="ThisWorkbook" defaultThemeVersion="124226"/>
  <mc:AlternateContent xmlns:mc="http://schemas.openxmlformats.org/markup-compatibility/2006">
    <mc:Choice Requires="x15">
      <x15ac:absPath xmlns:x15ac="http://schemas.microsoft.com/office/spreadsheetml/2010/11/ac" url="C:\Users\cm000175\Downloads\"/>
    </mc:Choice>
  </mc:AlternateContent>
  <xr:revisionPtr revIDLastSave="0" documentId="13_ncr:1_{240A1EE6-8B8E-4BFE-934B-330C489A2335}" xr6:coauthVersionLast="47" xr6:coauthVersionMax="47" xr10:uidLastSave="{00000000-0000-0000-0000-000000000000}"/>
  <bookViews>
    <workbookView xWindow="3135" yWindow="1005" windowWidth="21600" windowHeight="11295" firstSheet="8" activeTab="8" xr2:uid="{00000000-000D-0000-FFFF-FFFF00000000}"/>
  </bookViews>
  <sheets>
    <sheet name="Cover Sheet" sheetId="21" r:id="rId1"/>
    <sheet name="Inputs" sheetId="14" r:id="rId2"/>
    <sheet name="UK GBFF Spend" sheetId="16" r:id="rId3"/>
    <sheet name="GBFF Pot" sheetId="17" r:id="rId4"/>
    <sheet name="Project Data" sheetId="12" r:id="rId5"/>
    <sheet name="Milestones" sheetId="13" r:id="rId6"/>
    <sheet name="Aggregate Results" sheetId="15" r:id="rId7"/>
    <sheet name="AR25 Results" sheetId="18" r:id="rId8"/>
    <sheet name="Log Frame" sheetId="10" r:id="rId9"/>
    <sheet name="ICF 25" sheetId="19" r:id="rId10"/>
    <sheet name="DI 25" sheetId="20" r:id="rId11"/>
  </sheets>
  <definedNames>
    <definedName name="_xlnm._FilterDatabase" localSheetId="4" hidden="1">'Project Data'!$A$2:$AP$2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3" i="10" l="1"/>
  <c r="F13" i="10"/>
  <c r="E13" i="10"/>
  <c r="E4" i="13"/>
  <c r="H5" i="18"/>
  <c r="G21" i="18" l="1"/>
  <c r="G22" i="18"/>
  <c r="G20" i="18"/>
  <c r="B23" i="18"/>
  <c r="J23" i="18"/>
  <c r="B33" i="19"/>
  <c r="B34" i="19"/>
  <c r="B26" i="19"/>
  <c r="B24" i="19"/>
  <c r="B23" i="19"/>
  <c r="F7" i="18"/>
  <c r="F6" i="18"/>
  <c r="B8" i="18"/>
  <c r="B16" i="19"/>
  <c r="B11" i="16"/>
  <c r="F3" i="16"/>
  <c r="B4" i="16"/>
  <c r="B5" i="16" s="1"/>
  <c r="C4" i="16"/>
  <c r="D4" i="16" s="1"/>
  <c r="B43" i="19"/>
  <c r="B17" i="20"/>
  <c r="B16" i="20"/>
  <c r="B3" i="20"/>
  <c r="B10" i="20"/>
  <c r="B9" i="20"/>
  <c r="B8" i="20"/>
  <c r="B7" i="20"/>
  <c r="B6" i="20"/>
  <c r="B5" i="20"/>
  <c r="B4" i="20"/>
  <c r="G62" i="19"/>
  <c r="B70" i="19"/>
  <c r="B69" i="19"/>
  <c r="B68" i="19"/>
  <c r="B67" i="19"/>
  <c r="B66" i="19"/>
  <c r="B65" i="19"/>
  <c r="B64" i="19"/>
  <c r="B63" i="19"/>
  <c r="B50" i="19"/>
  <c r="B49" i="19"/>
  <c r="B48" i="19"/>
  <c r="B47" i="19"/>
  <c r="B46" i="19"/>
  <c r="B45" i="19"/>
  <c r="B44" i="19"/>
  <c r="B38" i="19"/>
  <c r="B37" i="19"/>
  <c r="B36" i="19"/>
  <c r="B35" i="19"/>
  <c r="B25" i="19"/>
  <c r="B15" i="19"/>
  <c r="B14" i="19"/>
  <c r="B13" i="19"/>
  <c r="B6" i="19"/>
  <c r="B4" i="19"/>
  <c r="B3" i="19"/>
  <c r="B3" i="18"/>
  <c r="B7" i="18"/>
  <c r="L3" i="12"/>
  <c r="B6" i="18" s="1"/>
  <c r="L4" i="12"/>
  <c r="L5" i="12"/>
  <c r="L6" i="12"/>
  <c r="L7" i="12"/>
  <c r="L8" i="12"/>
  <c r="L9" i="12"/>
  <c r="B4" i="18"/>
  <c r="B3" i="15"/>
  <c r="E10" i="12"/>
  <c r="F10" i="12"/>
  <c r="G10" i="12"/>
  <c r="H10" i="12"/>
  <c r="J10" i="12"/>
  <c r="K10" i="12"/>
  <c r="E19" i="15"/>
  <c r="D19" i="15"/>
  <c r="E16" i="15"/>
  <c r="E14" i="15"/>
  <c r="D14" i="15"/>
  <c r="E13" i="15"/>
  <c r="D13" i="15"/>
  <c r="E10" i="15"/>
  <c r="E11" i="15"/>
  <c r="D11" i="15"/>
  <c r="D10" i="15"/>
  <c r="E8" i="15"/>
  <c r="D8" i="15"/>
  <c r="E9" i="15"/>
  <c r="D9" i="15"/>
  <c r="E7" i="15"/>
  <c r="D7" i="15"/>
  <c r="E6" i="15"/>
  <c r="D6" i="15"/>
  <c r="E5" i="15"/>
  <c r="D5" i="15"/>
  <c r="B5" i="15"/>
  <c r="C5" i="15"/>
  <c r="E4" i="15"/>
  <c r="D4" i="15"/>
  <c r="E3" i="15"/>
  <c r="D3" i="15"/>
  <c r="B40" i="19"/>
  <c r="F85" i="10"/>
  <c r="G85" i="10"/>
  <c r="E85" i="10"/>
  <c r="F80" i="10"/>
  <c r="G80" i="10"/>
  <c r="E80" i="10"/>
  <c r="F75" i="10"/>
  <c r="G75" i="10"/>
  <c r="E75" i="10"/>
  <c r="F70" i="10"/>
  <c r="G70" i="10"/>
  <c r="E70" i="10"/>
  <c r="J27" i="18"/>
  <c r="E81" i="10" s="1"/>
  <c r="C4" i="18"/>
  <c r="C3" i="18"/>
  <c r="H3" i="18" s="1"/>
  <c r="C3" i="13"/>
  <c r="C4" i="13"/>
  <c r="C12" i="19" s="1"/>
  <c r="C5" i="13"/>
  <c r="C6" i="13"/>
  <c r="B7" i="13"/>
  <c r="C7" i="13" s="1"/>
  <c r="B10" i="16"/>
  <c r="D4" i="17"/>
  <c r="B5" i="17"/>
  <c r="C5" i="17" s="1"/>
  <c r="D5" i="17" s="1"/>
  <c r="C4" i="17"/>
  <c r="B4" i="17"/>
  <c r="F15" i="15"/>
  <c r="B26" i="18" s="1"/>
  <c r="C13" i="15"/>
  <c r="B13" i="15"/>
  <c r="O3" i="12"/>
  <c r="O4" i="12"/>
  <c r="O5" i="12"/>
  <c r="O6" i="12"/>
  <c r="O7" i="12"/>
  <c r="O8" i="12"/>
  <c r="C9" i="12"/>
  <c r="O9" i="12" s="1"/>
  <c r="C16" i="15"/>
  <c r="B16" i="15"/>
  <c r="N8" i="12"/>
  <c r="N9" i="12"/>
  <c r="I4" i="12"/>
  <c r="I5" i="12"/>
  <c r="I6" i="12"/>
  <c r="I7" i="12"/>
  <c r="I8" i="12"/>
  <c r="I9" i="12"/>
  <c r="I3" i="12"/>
  <c r="I10" i="12" s="1"/>
  <c r="C3" i="15"/>
  <c r="C11" i="15"/>
  <c r="C12" i="15" s="1"/>
  <c r="B11" i="15"/>
  <c r="B10" i="15"/>
  <c r="C10" i="15"/>
  <c r="C9" i="15"/>
  <c r="B9" i="15"/>
  <c r="AG3" i="12"/>
  <c r="AG4" i="12"/>
  <c r="AG5" i="12"/>
  <c r="AG6" i="12"/>
  <c r="AG7" i="12"/>
  <c r="AG8" i="12"/>
  <c r="B17" i="19" s="1"/>
  <c r="AG9" i="12"/>
  <c r="B20" i="19" s="1"/>
  <c r="B6" i="15"/>
  <c r="C7" i="15"/>
  <c r="B7" i="15"/>
  <c r="C6" i="15"/>
  <c r="C4" i="15"/>
  <c r="B4" i="15"/>
  <c r="C11" i="13"/>
  <c r="C12" i="13"/>
  <c r="C13" i="13"/>
  <c r="C14" i="13"/>
  <c r="C10" i="13"/>
  <c r="E4" i="16" l="1"/>
  <c r="E5" i="16" s="1"/>
  <c r="D5" i="16"/>
  <c r="L10" i="12"/>
  <c r="B18" i="19"/>
  <c r="C8" i="18"/>
  <c r="D8" i="18" s="1"/>
  <c r="H8" i="18" s="1"/>
  <c r="C5" i="16"/>
  <c r="B19" i="19"/>
  <c r="F4" i="15"/>
  <c r="B14" i="18" s="1"/>
  <c r="C14" i="18" s="1"/>
  <c r="D12" i="15"/>
  <c r="F7" i="15"/>
  <c r="B17" i="18" s="1"/>
  <c r="C17" i="18" s="1"/>
  <c r="E12" i="15"/>
  <c r="O10" i="12"/>
  <c r="B19" i="15"/>
  <c r="B27" i="18" s="1"/>
  <c r="C19" i="15"/>
  <c r="C10" i="16"/>
  <c r="C11" i="16" s="1"/>
  <c r="E10" i="13"/>
  <c r="E38" i="10" s="1"/>
  <c r="E14" i="13"/>
  <c r="E58" i="10" s="1"/>
  <c r="E13" i="13"/>
  <c r="E53" i="10" s="1"/>
  <c r="E12" i="13"/>
  <c r="E48" i="10" s="1"/>
  <c r="E11" i="13"/>
  <c r="E43" i="10" s="1"/>
  <c r="B6" i="17"/>
  <c r="B8" i="17" s="1"/>
  <c r="C6" i="17"/>
  <c r="C8" i="17" s="1"/>
  <c r="D6" i="17"/>
  <c r="D8" i="17" s="1"/>
  <c r="E7" i="13"/>
  <c r="E6" i="13"/>
  <c r="E5" i="13"/>
  <c r="E12" i="19"/>
  <c r="J3" i="18"/>
  <c r="G7" i="18"/>
  <c r="H7" i="18" s="1"/>
  <c r="J7" i="18" s="1"/>
  <c r="D10" i="16"/>
  <c r="D11" i="16" s="1"/>
  <c r="G6" i="18"/>
  <c r="H6" i="18" s="1"/>
  <c r="J6" i="18" s="1"/>
  <c r="C14" i="15"/>
  <c r="B14" i="15"/>
  <c r="F14" i="15" s="1"/>
  <c r="B24" i="18" s="1"/>
  <c r="E26" i="18"/>
  <c r="F26" i="18" s="1"/>
  <c r="E24" i="18"/>
  <c r="F24" i="18" s="1"/>
  <c r="F3" i="15"/>
  <c r="B13" i="18" s="1"/>
  <c r="C13" i="18" s="1"/>
  <c r="H13" i="18" s="1"/>
  <c r="J13" i="18" s="1"/>
  <c r="E39" i="10" s="1"/>
  <c r="F6" i="15"/>
  <c r="B16" i="18" s="1"/>
  <c r="C16" i="18" s="1"/>
  <c r="H16" i="18" s="1"/>
  <c r="J16" i="18" s="1"/>
  <c r="E54" i="10" s="1"/>
  <c r="F9" i="15"/>
  <c r="B18" i="18" s="1"/>
  <c r="F10" i="15"/>
  <c r="B19" i="18" s="1"/>
  <c r="C19" i="18" s="1"/>
  <c r="H19" i="18" s="1"/>
  <c r="J19" i="18" s="1"/>
  <c r="E65" i="10" s="1"/>
  <c r="F11" i="15"/>
  <c r="B20" i="18" s="1"/>
  <c r="B12" i="15"/>
  <c r="F13" i="15"/>
  <c r="B22" i="18" s="1"/>
  <c r="C8" i="15"/>
  <c r="B8" i="15"/>
  <c r="B25" i="18" l="1"/>
  <c r="J25" i="18" s="1"/>
  <c r="E76" i="10" s="1"/>
  <c r="G16" i="13"/>
  <c r="G15" i="13"/>
  <c r="G3" i="13"/>
  <c r="F3" i="13"/>
  <c r="F16" i="13"/>
  <c r="F15" i="13"/>
  <c r="C2" i="20"/>
  <c r="E2" i="20"/>
  <c r="E3" i="13"/>
  <c r="E16" i="13"/>
  <c r="E15" i="13"/>
  <c r="F19" i="15"/>
  <c r="F10" i="13"/>
  <c r="F38" i="10" s="1"/>
  <c r="F14" i="13"/>
  <c r="F58" i="10" s="1"/>
  <c r="F13" i="13"/>
  <c r="F53" i="10" s="1"/>
  <c r="F12" i="13"/>
  <c r="F48" i="10" s="1"/>
  <c r="F11" i="13"/>
  <c r="F43" i="10" s="1"/>
  <c r="F7" i="13"/>
  <c r="F28" i="10" s="1"/>
  <c r="F6" i="13"/>
  <c r="F5" i="13"/>
  <c r="F4" i="13"/>
  <c r="B32" i="19"/>
  <c r="D32" i="19" s="1"/>
  <c r="E24" i="10"/>
  <c r="B2" i="19"/>
  <c r="E9" i="10"/>
  <c r="C42" i="19"/>
  <c r="E42" i="19" s="1"/>
  <c r="E28" i="10"/>
  <c r="H4" i="18"/>
  <c r="J4" i="18" s="1"/>
  <c r="G2" i="19" s="1"/>
  <c r="J8" i="18"/>
  <c r="B2" i="20" s="1"/>
  <c r="D2" i="20" s="1"/>
  <c r="H14" i="18"/>
  <c r="J14" i="18" s="1"/>
  <c r="E44" i="10" s="1"/>
  <c r="H17" i="18"/>
  <c r="J17" i="18" s="1"/>
  <c r="E59" i="10" s="1"/>
  <c r="E10" i="16"/>
  <c r="E11" i="16" s="1"/>
  <c r="B22" i="19"/>
  <c r="D22" i="19" s="1"/>
  <c r="E19" i="10"/>
  <c r="C18" i="18"/>
  <c r="H18" i="18" s="1"/>
  <c r="J18" i="18" s="1"/>
  <c r="F8" i="15"/>
  <c r="B5" i="18"/>
  <c r="C5" i="18" s="1"/>
  <c r="J5" i="18" s="1"/>
  <c r="B12" i="19" s="1"/>
  <c r="H22" i="18"/>
  <c r="J22" i="18" s="1"/>
  <c r="E71" i="10"/>
  <c r="G24" i="18"/>
  <c r="H24" i="18" s="1"/>
  <c r="J24" i="18" s="1"/>
  <c r="G26" i="18"/>
  <c r="H26" i="18" s="1"/>
  <c r="J26" i="18" s="1"/>
  <c r="F5" i="15"/>
  <c r="B15" i="18" s="1"/>
  <c r="C15" i="18" s="1"/>
  <c r="H15" i="18" s="1"/>
  <c r="J15" i="18" s="1"/>
  <c r="F12" i="15"/>
  <c r="B21" i="18" s="1"/>
  <c r="E49" i="10" l="1"/>
  <c r="B12" i="20"/>
  <c r="G10" i="13"/>
  <c r="G38" i="10" s="1"/>
  <c r="G14" i="13"/>
  <c r="G58" i="10" s="1"/>
  <c r="G13" i="13"/>
  <c r="G53" i="10" s="1"/>
  <c r="G12" i="13"/>
  <c r="G48" i="10" s="1"/>
  <c r="G11" i="13"/>
  <c r="G43" i="10" s="1"/>
  <c r="G7" i="13"/>
  <c r="G28" i="10" s="1"/>
  <c r="G6" i="13"/>
  <c r="G5" i="13"/>
  <c r="G4" i="13"/>
  <c r="E14" i="10"/>
  <c r="D12" i="19"/>
  <c r="E64" i="10"/>
  <c r="E66" i="10" s="1"/>
  <c r="B62" i="19"/>
  <c r="E29" i="10"/>
  <c r="B42" i="19"/>
  <c r="D42" i="19" s="1"/>
  <c r="D2" i="19"/>
  <c r="F2" i="19"/>
  <c r="H21" i="18"/>
  <c r="J21" i="18" s="1"/>
  <c r="H20" i="18"/>
  <c r="J20" i="18" s="1"/>
  <c r="D62" i="19" l="1"/>
  <c r="F62" i="19"/>
  <c r="N6" i="12" l="1"/>
  <c r="N7" i="12"/>
  <c r="N5" i="12"/>
  <c r="N4" i="12"/>
  <c r="N3" i="12"/>
  <c r="N10" i="12"/>
  <c r="M10" i="12"/>
  <c r="D16" i="15"/>
  <c r="F16" i="15"/>
  <c r="B28" i="18"/>
  <c r="E28" i="18" s="1"/>
  <c r="F28" i="18" s="1"/>
  <c r="G28" i="18" s="1"/>
  <c r="H28" i="18" s="1"/>
  <c r="J28" i="18" s="1"/>
  <c r="B29" i="18"/>
  <c r="J29" i="18"/>
  <c r="E86"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tc={B0F43C1E-00A6-4AFE-A9A8-02ADCDE6E1AC}</author>
  </authors>
  <commentList>
    <comment ref="C7" authorId="0" shapeId="0" xr:uid="{B0F43C1E-00A6-4AFE-A9A8-02ADCDE6E1AC}">
      <text>
        <t>[Threaded comment]
Your version of Excel allows you to read this threaded comment; however, any edits to it will get removed if the file is opened in a newer version of Excel. Learn more: https://go.microsoft.com/fwlink/?linkid=870924
Comment:
    Update value for AR26</t>
      </text>
    </comment>
  </commentList>
</comments>
</file>

<file path=xl/sharedStrings.xml><?xml version="1.0" encoding="utf-8"?>
<sst xmlns="http://schemas.openxmlformats.org/spreadsheetml/2006/main" count="518" uniqueCount="271">
  <si>
    <r>
      <rPr>
        <b/>
        <sz val="10"/>
        <color rgb="FF000000"/>
        <rFont val="Arial"/>
      </rPr>
      <t>Purpose</t>
    </r>
    <r>
      <rPr>
        <sz val="10"/>
        <color rgb="FF000000"/>
        <rFont val="Arial"/>
      </rPr>
      <t>: This spreadsheet calculates milestones and results for the Global Biodiversity Framework Fund Annual Review, International Climate Finance (ICF) Indicator, and Defra Indicator (DI) returns</t>
    </r>
  </si>
  <si>
    <r>
      <rPr>
        <b/>
        <sz val="10"/>
        <color rgb="FF000000"/>
        <rFont val="Arial"/>
      </rPr>
      <t>Methodology:</t>
    </r>
    <r>
      <rPr>
        <sz val="10"/>
        <color rgb="FF000000"/>
        <rFont val="Arial"/>
      </rPr>
      <t xml:space="preserve"> Details of the methodology is given in each tab, but a rough outline is given below.
Milestones are based on the expected results of the 2024 £100m Business Case, in proportion to the amount of funding spent in relation to the £100m.
Results of the fund are based on projected results from GBFF funded projects. These are attributed to the UK according the proportion of the total pot contributed by the UK. Further adjustments are made to account for the historic success rate of GEF projects, ICF eligibility, and double counting (where applicable)</t>
    </r>
  </si>
  <si>
    <r>
      <rPr>
        <b/>
        <sz val="10"/>
        <color rgb="FF000000"/>
        <rFont val="Arial"/>
      </rPr>
      <t xml:space="preserve">Structure: </t>
    </r>
    <r>
      <rPr>
        <sz val="10"/>
        <color rgb="FF000000"/>
        <rFont val="Arial"/>
      </rPr>
      <t xml:space="preserve">The Spreadsheet is Structured as follows: </t>
    </r>
    <r>
      <rPr>
        <sz val="10"/>
        <color rgb="FF92D050"/>
        <rFont val="Arial"/>
      </rPr>
      <t xml:space="preserve">Green </t>
    </r>
    <r>
      <rPr>
        <sz val="10"/>
        <color rgb="FF000000"/>
        <rFont val="Arial"/>
      </rPr>
      <t xml:space="preserve">tabs are inputs, </t>
    </r>
    <r>
      <rPr>
        <sz val="10"/>
        <color rgb="FFFFC000"/>
        <rFont val="Arial"/>
      </rPr>
      <t xml:space="preserve">Orange </t>
    </r>
    <r>
      <rPr>
        <sz val="10"/>
        <color rgb="FF000000"/>
        <rFont val="Arial"/>
      </rPr>
      <t xml:space="preserve">tabs are calculations, and </t>
    </r>
    <r>
      <rPr>
        <sz val="10"/>
        <color rgb="FF00B0F0"/>
        <rFont val="Arial"/>
      </rPr>
      <t xml:space="preserve">Blue </t>
    </r>
    <r>
      <rPr>
        <sz val="10"/>
        <color rgb="FF000000"/>
        <rFont val="Arial"/>
      </rPr>
      <t>tabs are results</t>
    </r>
  </si>
  <si>
    <t>Table 1: Inputs</t>
  </si>
  <si>
    <t>Input</t>
  </si>
  <si>
    <t>Value</t>
  </si>
  <si>
    <t>Explaination</t>
  </si>
  <si>
    <t>GEF Success factor</t>
  </si>
  <si>
    <t>As this Annual Reivew relies on anticipated, rather than actual, results. 80% is the historic GEF success rate.</t>
  </si>
  <si>
    <t>USD-GBP Conversion</t>
  </si>
  <si>
    <t>GBP-USD Conversion</t>
  </si>
  <si>
    <t>Double Counting Adjustment</t>
  </si>
  <si>
    <t>A discount is made to ICF KPI 17 relating to land under improved management to account for neglible double counting.</t>
  </si>
  <si>
    <t>ICF funding adjustment</t>
  </si>
  <si>
    <t>To reflect ICF eligiblity of GBFF contributions.</t>
  </si>
  <si>
    <t xml:space="preserve">Financing adjustment for non alignment with ICF definitions </t>
  </si>
  <si>
    <t>GEF noted that not all of their 'co-finance' results would fit the ICF definition. The results have been conservatively discounted by 50% in result.</t>
  </si>
  <si>
    <t>Table 2: Projected Spending in Business Case (not currently used)</t>
  </si>
  <si>
    <t>23/24</t>
  </si>
  <si>
    <t>24/25</t>
  </si>
  <si>
    <t>25/26</t>
  </si>
  <si>
    <t>26/27</t>
  </si>
  <si>
    <t>Total</t>
  </si>
  <si>
    <t>Annual Spend, BC</t>
  </si>
  <si>
    <t>Cumulative Spend, BC</t>
  </si>
  <si>
    <t>Cumulative Proportion of total, BC</t>
  </si>
  <si>
    <t>Table 3: Actual UK contributions to GBFF</t>
  </si>
  <si>
    <t>Annual Spend, Actual*</t>
  </si>
  <si>
    <t>Cumulative Spend, Actual*</t>
  </si>
  <si>
    <t>Cumulative Proportion of total, Actual</t>
  </si>
  <si>
    <t>Note: The milestones are set by using the estimated results from the Business Case. The Business Case results were based on a £100m spend, so the milestones are calculated according to the proportion of the £100m spent. 
These tables present the projected spending on the BC and the actual UK contributions to the GBFF so far, in proportion to the £100m BC.
* Actual spend figures for 25/26 onwards are projections based on the remaining funding secured in the previous SR.</t>
  </si>
  <si>
    <t>Table 4: UK Contributions to the GBFF in Proportion to Total Funding</t>
  </si>
  <si>
    <t>2023/24</t>
  </si>
  <si>
    <t>UK Annual Contribution</t>
  </si>
  <si>
    <t>UK Annual Contribution, USD eq</t>
  </si>
  <si>
    <t>UK Cumulative Contribution</t>
  </si>
  <si>
    <t>UK Cumulative Contribution, USD eq</t>
  </si>
  <si>
    <t>Total GBFF pot</t>
  </si>
  <si>
    <t>UK Cumulative Proportion of total pot</t>
  </si>
  <si>
    <t>Note: This tab estimates UK contributions to the GBFF as a proportion of total GBFF funding. These results are used to attribute GBFF results to the UK government.</t>
  </si>
  <si>
    <t>Table 5: Project level results for approved GBFF projects</t>
  </si>
  <si>
    <t>Project</t>
  </si>
  <si>
    <t>Country(ies)</t>
  </si>
  <si>
    <t>SIDS/LDC</t>
  </si>
  <si>
    <t>Approval year</t>
  </si>
  <si>
    <t>Grant Cost (USD)</t>
  </si>
  <si>
    <t>Agency Fee (USD)</t>
  </si>
  <si>
    <t>PPG Amount (USD)</t>
  </si>
  <si>
    <t>PPG Agency Fee</t>
  </si>
  <si>
    <t>Total GEF Cost</t>
  </si>
  <si>
    <t>Cofinancing</t>
  </si>
  <si>
    <t>Of which private</t>
  </si>
  <si>
    <t>Of which public</t>
  </si>
  <si>
    <t>IPLC Finance</t>
  </si>
  <si>
    <t>% IPLC</t>
  </si>
  <si>
    <t>SIDS/LDC Finance</t>
  </si>
  <si>
    <t>1. Terrestrial protected areas created or under improved management (Ha)</t>
  </si>
  <si>
    <t>1.1 Terrestiral Protected Areas Newly created (Ha)</t>
  </si>
  <si>
    <t>1.2 Terrestrial Protected Areas Under Improved Management (Ha)</t>
  </si>
  <si>
    <t>2. Marine protected areas created or under improved management (Ha)</t>
  </si>
  <si>
    <t>2.1 Marine Protected Areas Newly created (Ha)</t>
  </si>
  <si>
    <t>2.2 Marine Protected Areas Under improved management effectiveness</t>
  </si>
  <si>
    <t>3. Area of land and ecosystems under restoration</t>
  </si>
  <si>
    <t>3.1 Area of degraded agricultural lands under restoration</t>
  </si>
  <si>
    <t>3.2 Area of forest and forest land under restoration</t>
  </si>
  <si>
    <t>3.3 Area of natural grass and woodland under restoration</t>
  </si>
  <si>
    <t>3.4 Area of wetlands (including estuaries, mangroves) under restoration</t>
  </si>
  <si>
    <t>4. Area of landscape under improved pratice, excluding protected areas (Ha)</t>
  </si>
  <si>
    <t>4.1 Area of landscapes under improved management to benefit biodiversity (Ha)</t>
  </si>
  <si>
    <t>4.2 Area of landscapes under third-party certification incorporating biodiversity considerations (Ha)</t>
  </si>
  <si>
    <t>4.3 Area of landscapes under sustainable land management in production systems (Ha)</t>
  </si>
  <si>
    <t>4.4 Area of High Conservation Value or other forest loss avoided (Ha)</t>
  </si>
  <si>
    <t>5. Area of marine habitat under improved practices (million ha)</t>
  </si>
  <si>
    <t>6. Greenhouse Gas Emissions Mitigated (tCO2e)</t>
  </si>
  <si>
    <t>6.a Direct Greenhouse Gas Emissions Mitigated (tCO2e)2</t>
  </si>
  <si>
    <t>6.b Indirect Greenhouse Gas Emissions Mitigated (tCO2e)</t>
  </si>
  <si>
    <t>6.1.a Direct Carbon Sequestered or Emissions Avoided in the AFOLU</t>
  </si>
  <si>
    <t>6.1.b Indirect Carbon Sequestered or Emissions Avoided in the AFOLU</t>
  </si>
  <si>
    <t>6.2 Emissions Avoided Outside AFOLU</t>
  </si>
  <si>
    <t>6.3 Energy Saved</t>
  </si>
  <si>
    <t>6.4 Increase in Installed Renewable Energy Capacity per Technology</t>
  </si>
  <si>
    <t>11. People benefiting from GEF investment</t>
  </si>
  <si>
    <t>11.1 of whom women</t>
  </si>
  <si>
    <t>Mex30x30</t>
  </si>
  <si>
    <t>Mexico</t>
  </si>
  <si>
    <t>Caatinga Protected areas Program</t>
  </si>
  <si>
    <t>Brazil</t>
  </si>
  <si>
    <t>Biodiversity Conservation in Indigenous Lands</t>
  </si>
  <si>
    <t>Addressing Barrers and Leveraging Finance to Achieve T3 in Gabon</t>
  </si>
  <si>
    <t>Gabon</t>
  </si>
  <si>
    <t>Community-based conservation in context of climate change in DRC</t>
  </si>
  <si>
    <t>Congo DR</t>
  </si>
  <si>
    <t>Delivering Target 3 in Peru</t>
  </si>
  <si>
    <t>Peru</t>
  </si>
  <si>
    <t>Strengthened transboundrary conservation in Sangha Tri-National</t>
  </si>
  <si>
    <t>Cameroon, CAR, Congo</t>
  </si>
  <si>
    <r>
      <rPr>
        <b/>
        <sz val="10"/>
        <color rgb="FF000000"/>
        <rFont val="Arial"/>
      </rPr>
      <t xml:space="preserve">Table 6: </t>
    </r>
    <r>
      <rPr>
        <sz val="10"/>
        <color rgb="FF000000"/>
        <rFont val="Arial"/>
      </rPr>
      <t>Milestone estimates for GBF Fund</t>
    </r>
  </si>
  <si>
    <t>Outcome Indicators</t>
  </si>
  <si>
    <t>Estimated in BC</t>
  </si>
  <si>
    <t>Success factor (80%)</t>
  </si>
  <si>
    <t>2025 Milestone</t>
  </si>
  <si>
    <t>2026 
Milestone</t>
  </si>
  <si>
    <t>2027
Milestone</t>
  </si>
  <si>
    <t>1. Number of people supported to cope with the effects of climate change as a result of ICF investment</t>
  </si>
  <si>
    <t>2. Greenhouse gas emissions reduced or avoided (tCO2e) as a result of ICF investment</t>
  </si>
  <si>
    <t xml:space="preserve">3. Volume of public finance mobilised for climate change purposes as a result of ICF investment (£m) </t>
  </si>
  <si>
    <t>4. Volume of private finance mobilised for climate change purposes as a result of ICF investment (£m)</t>
  </si>
  <si>
    <t>5. Hectares of land (m) that have received sustainable land management practices as a result of ICF investment</t>
  </si>
  <si>
    <t>Output Indicators</t>
  </si>
  <si>
    <t xml:space="preserve">1. Terrestrial protected areas created or under improved management for conservation and sustainable use (ha) </t>
  </si>
  <si>
    <t>2. Marine protected areas created or under improved management for conservation and sustainable use (ha)</t>
  </si>
  <si>
    <t xml:space="preserve">3. Area of land restored (ha) </t>
  </si>
  <si>
    <t>4. Area of landscapes under improved practices (ha; excl. protected areas)</t>
  </si>
  <si>
    <t>5. Area of marine habitat under improved practices (ha; excl. protected areas)</t>
  </si>
  <si>
    <t>6. Number of direct beneficiaries disaggregated by gender as co-benefit of GEF investment</t>
  </si>
  <si>
    <t>6.a) Number of direct beneficiaries disaggregated by gender as co-benefit of GEF investment (women)</t>
  </si>
  <si>
    <t>7. Co-financing ratio of GBF Fund projects</t>
  </si>
  <si>
    <t>8. 36 percent + 3 percent of funding allocated to small island developing States (SIDS)/least 
developed countries (LDCs</t>
  </si>
  <si>
    <t>11. 25 percent to be programmed through international financing institutions (IFIs)</t>
  </si>
  <si>
    <t>12. Share of 20 percent by 2030 to support actions by Indigenous Peoples and Local Communities (IPLCs)</t>
  </si>
  <si>
    <t>Note: This table calculates anticipated results of the GBF Fund Outcome and Output Indicators, based on the Business case. Column B presents the expected results from £100m spending is taken from p.29 of the BC. Column C applies an 80% success factor, due to the fact that these numbers are based on expected results from the GEF-7. Columns E-G estimate milestones for 2025-2027 based on the proportion of the £100m the UK has actually contributed up to that point.</t>
  </si>
  <si>
    <t>Sources:</t>
  </si>
  <si>
    <t>https://iatipublisher-prod.s3.amazonaws.com/document-link/414/GBF-Fund-Full-Business-Case-%28Redacted%29-202408210208371745544305.pdf</t>
  </si>
  <si>
    <t>EN_GEF.C.64.Inf_.04_Scorecard_June_2023.pdf</t>
  </si>
  <si>
    <r>
      <rPr>
        <b/>
        <sz val="10"/>
        <color rgb="FF000000"/>
        <rFont val="Arial"/>
      </rPr>
      <t xml:space="preserve">Table 7: </t>
    </r>
    <r>
      <rPr>
        <sz val="10"/>
        <color rgb="FF000000"/>
        <rFont val="Arial"/>
      </rPr>
      <t>Aggregate Results For GBFF Projects</t>
    </r>
  </si>
  <si>
    <t>GBFF Indicators</t>
  </si>
  <si>
    <t>1. Terrestrial protected areas created or under improved management (ha)</t>
  </si>
  <si>
    <t xml:space="preserve">2. Marine protected areas created or under improved management (ha) </t>
  </si>
  <si>
    <t>3. Area of land and ecosystems under restoration (ha)</t>
  </si>
  <si>
    <t>4. Area of landscapes under improved practices (ha)</t>
  </si>
  <si>
    <t>5. Area of marine habitat under improved practices (ha)</t>
  </si>
  <si>
    <t>6. Greenhouse Gas emissions mitigated (tCO2e)</t>
  </si>
  <si>
    <t>7. People benefitting from the conservation, sustainable use or restoration of biodiversity</t>
  </si>
  <si>
    <t>7.a)of whom women</t>
  </si>
  <si>
    <t>8. Volume of Co-financing ($)</t>
  </si>
  <si>
    <t>8.a) Public cofinance</t>
  </si>
  <si>
    <t>8.b) Private cofinance</t>
  </si>
  <si>
    <t>9. SIDS Funding ($)</t>
  </si>
  <si>
    <t>10. IFI Funding ($)</t>
  </si>
  <si>
    <t>11. IPLC Funding ($)</t>
  </si>
  <si>
    <t>Spending</t>
  </si>
  <si>
    <t>Total GEF spend</t>
  </si>
  <si>
    <t>Note: This tab aggregates the results "Project Data" tab into annual figures.</t>
  </si>
  <si>
    <r>
      <rPr>
        <b/>
        <sz val="10"/>
        <color rgb="FF000000"/>
        <rFont val="Arial"/>
      </rPr>
      <t xml:space="preserve">Table 8: </t>
    </r>
    <r>
      <rPr>
        <sz val="10"/>
        <color rgb="FF000000"/>
        <rFont val="Arial"/>
      </rPr>
      <t>Results calculation for 2025 Annual Review</t>
    </r>
  </si>
  <si>
    <t>Aggregate Result</t>
  </si>
  <si>
    <t>Double-counting adjustment (95%)</t>
  </si>
  <si>
    <t>ICF Funding Adjustment (80%)</t>
  </si>
  <si>
    <t>Financing adjustment for non-alignment with ICF definitions (50%)</t>
  </si>
  <si>
    <t>UK Attribution (9.4%)</t>
  </si>
  <si>
    <t>FINAL AR25 RESULT</t>
  </si>
  <si>
    <t>1.a) of whom women</t>
  </si>
  <si>
    <t>2. Greenhouse gas emissions reduced or avoided as a result of ICF investment (tCO2e)</t>
  </si>
  <si>
    <t>5. Hectares of land that have received sustainable land management practices as a result of ICF investment (ha)</t>
  </si>
  <si>
    <t>6. People benefitting from the conservation, sustainable use or restoration of biodiversity</t>
  </si>
  <si>
    <t>6.a)of whom women</t>
  </si>
  <si>
    <t>7. Volume of Co-financing ($)</t>
  </si>
  <si>
    <t>7.a) Public cofinance</t>
  </si>
  <si>
    <t>7.b) Private cofinance</t>
  </si>
  <si>
    <t>7.c) All co-finance, leveraging ratio</t>
  </si>
  <si>
    <t>8. SIDS Funding ($)</t>
  </si>
  <si>
    <t>8.a) SIDS Funding, % of total</t>
  </si>
  <si>
    <t>9. IFI Funding ($)</t>
  </si>
  <si>
    <t>9.a) IFI Funding, % of total</t>
  </si>
  <si>
    <t>10. IPLC Funding ($)</t>
  </si>
  <si>
    <t>10.a) IPLC Funding, % of total</t>
  </si>
  <si>
    <r>
      <rPr>
        <b/>
        <sz val="10"/>
        <color rgb="FF000000"/>
        <rFont val="Arial"/>
      </rPr>
      <t xml:space="preserve">Note: </t>
    </r>
    <r>
      <rPr>
        <sz val="10"/>
        <color rgb="FF000000"/>
        <rFont val="Arial"/>
      </rPr>
      <t xml:space="preserve">Outcome indicator figures differ from aggregate figures due to adjustments made my the GEF secretariat to account for ICF eligibility. Source: Received from GEF Secretariat May 2025
</t>
    </r>
    <r>
      <rPr>
        <b/>
        <sz val="10"/>
        <color rgb="FF000000"/>
        <rFont val="Arial"/>
      </rPr>
      <t>Methodology:</t>
    </r>
    <r>
      <rPr>
        <sz val="10"/>
        <color rgb="FF000000"/>
        <rFont val="Arial"/>
      </rPr>
      <t xml:space="preserve"> Aggregate results for Outcome Indicators were received directly from the GEF, Output Indicators were aggregated from project-level data.
For co-finance indicators, the success factor is not applied because these outcomes are likely to be contract-based and can be assumed to deliver the projected levels. An 80% adjustment is made to reflect </t>
    </r>
    <r>
      <rPr>
        <b/>
        <sz val="10"/>
        <color rgb="FF000000"/>
        <rFont val="Arial"/>
      </rPr>
      <t xml:space="preserve">XXX. </t>
    </r>
    <r>
      <rPr>
        <sz val="10"/>
        <color rgb="FF000000"/>
        <rFont val="Arial"/>
      </rPr>
      <t>An additional 50% adjustment is made to account for the fact that not all co-finance results will fit the ICF definition. Prices are then converted from USD to GBP. Finally, the UK is attributed 9.4% of this co-finance due to the fact that the UK contributed $19.7m of $210m of the available funding for projects in the AR period.
For all other indicators, an 80% success factor is applied to aggregate results based on historic GEF project performance relative to anticipated results. The UK is then attributed 9.4% of these results due to the fact that the UK contributed $19.7m of $210m of the available funding for projects in the AR period.</t>
    </r>
  </si>
  <si>
    <t>Outcome Indicator Source: Received from GEF Secretariat May 2025</t>
  </si>
  <si>
    <t>PROJECT NAME</t>
  </si>
  <si>
    <t>IMPACT</t>
  </si>
  <si>
    <t>Impact Indicator 1</t>
  </si>
  <si>
    <t>Baseline (June 2024)</t>
  </si>
  <si>
    <t>Milestone 1 (June 2025)</t>
  </si>
  <si>
    <t>Milestone 2 (June 2026)</t>
  </si>
  <si>
    <t>Milestone 3 (June 2027)</t>
  </si>
  <si>
    <t>Target (June 2028)</t>
  </si>
  <si>
    <t>Assumptions/notes</t>
  </si>
  <si>
    <t>International Community on track to deliver goals and targets of the Global Biodiversity Framework, delivering global environmental benefits and strengthened domestic capacity to generate sustainable environmental improvements</t>
  </si>
  <si>
    <t>International delivery of Global Biodiversity Framework</t>
  </si>
  <si>
    <t>Planned</t>
  </si>
  <si>
    <t>10% National Biodiversity Strategies and Action Plans published (19)</t>
  </si>
  <si>
    <t>50% National Biodiversity Strategies and Action Plans published (98)</t>
  </si>
  <si>
    <t xml:space="preserve">100% National Biodiversity Strategies and Action Plans published (196)
Interim Targets achieved:
18 - identification of harmful subsidies
</t>
  </si>
  <si>
    <t>National Reporting on GBF delivery demonstrates progress towards achieving the goals and targets
Interim Targets achieved:
19(a) - International public nature finance flows</t>
  </si>
  <si>
    <t>NA</t>
  </si>
  <si>
    <t>Assumptions made in supporting the achievement of the Impact Statement
- Countries will prioritise publishing an NBSAP in order to align GBF Fund projects to national strategies.
- Countries will deliver on the plans and commitments in their NBSAPs
- The success rate of GBF Fund projects is high to make tangible, long term improvements to the environment</t>
  </si>
  <si>
    <t>Achieved</t>
  </si>
  <si>
    <t>Baseline data</t>
  </si>
  <si>
    <t>27% (52 NBSAPs)</t>
  </si>
  <si>
    <t>Source</t>
  </si>
  <si>
    <t>UN CBD National Reporting website</t>
  </si>
  <si>
    <t>OUTCOME</t>
  </si>
  <si>
    <t>Outcome Indicator 1 (ICF KPI 1)</t>
  </si>
  <si>
    <t>To fund activities through UK investment that supports delivery of the GBF, leading to improvements in local and regional biodiversity and additional public and private investment in nature</t>
  </si>
  <si>
    <t>Number of people supported to cope with the effects of climate change as a result of ICF investment</t>
  </si>
  <si>
    <t>In absence of programme-level anticipated beneficiary data, no GBF Fund target is proposed, but the indicator will be monitored across the GBF Fund programme</t>
  </si>
  <si>
    <r>
      <rPr>
        <b/>
        <sz val="9"/>
        <color rgb="FF000000"/>
        <rFont val="Arial"/>
      </rPr>
      <t xml:space="preserve">MILESTONES &amp; TARGETS
</t>
    </r>
    <r>
      <rPr>
        <sz val="9"/>
        <color rgb="FF000000"/>
        <rFont val="Arial"/>
      </rPr>
      <t>Assumes $210m total fund value at launch for GBF Fund core indicators and includes a zero baseline at the start of the GBF Fund (June 2024). UK attribution of £15m ($19.72m) as per Trustee Report (Sept 24). https://www.thegef.org/sites/default/files/documents/2024-12/GEF_GBFF.03_Info%2002%20Trustee%20Report.pdf
No GBF Fund targets are proposed where there is an absence of past, portfolio-level monitoring of beneficiary data from GEF projects, but the indicator will be monitored across the GBF Fund portfolio. Where used, targets are adjusted for project success rating (80%). 
All KPIs achieved are programme level expected achieved results aggregated from individual project result frameworks, except for finance indictaors (KPI 11&amp;12) which are considered actuals
Of projects that report on the number of direct beneficiaries, all are expected to provide gender-disaggregated data.				
Milestones are set proportionally to the anticipated results from a £100m investment calculated in the Business Case. Note that meeting milestones will depend on the rate at which projects are approved in work programmes. Not all available funding will be allocated to approved projects in the year it is first made available. Narrative reporting will be provided where needed.
No quantiative milestones are given for outcome indicators 1,3 and 4, but are tracked as part of our ICF reporting so have been included. Co-finance for climate finance is consistent with the OECD-DAC Rio Marker methodology (and will allow calculation of the UK ICF KPIs on volumes of climate finance mobilised).
Outcome Indicator 5 is a composite of output indicators 1-5, with an adjustment factor of 95% applied to account for any (negligble) double-counting (as agreed with GEF Secretariat).
Assumptions made in acheiving the Outcomes:
- Other finance sources for nature are forthcoming;
- Projects have effective monitoring programmes in place to track results against indicators.</t>
    </r>
  </si>
  <si>
    <t>GEF Secretariat data on GBF Fund projects</t>
  </si>
  <si>
    <t>Outcome Indicator 2 (ICF KPI 6)</t>
  </si>
  <si>
    <t>Greenhouse gas emissions reduced or avoided (m tCO2e) as a result of ICF investment</t>
  </si>
  <si>
    <t>0</t>
  </si>
  <si>
    <t>GBF Fund Progress Report</t>
  </si>
  <si>
    <t>Outcome Indicator 3 (ICF KPI 11)</t>
  </si>
  <si>
    <t xml:space="preserve">Volume of public finance mobilised for climate change purposes as a result of ICF investment (£m) </t>
  </si>
  <si>
    <t>Although the GBF Fund aims to leverage co-financing at a rate of 7:1, no disaggregation of public/private finance is proposed, but the indicator is tracked across the GBF Fund programme</t>
  </si>
  <si>
    <t>GBF Fund Progress Report + GEF Secretariat disaggregation</t>
  </si>
  <si>
    <t>Outcome Indicator 4  (ICF KPI 12)</t>
  </si>
  <si>
    <t>Volume of private finance mobilised for climate change purposes as a result of ICF investment (£m)</t>
  </si>
  <si>
    <t>Outcome Indicator 5  (ICF KPI 17)</t>
  </si>
  <si>
    <t>Hectares of land (m) that have received sustainable land management practices as a result of ICF investment</t>
  </si>
  <si>
    <t xml:space="preserve"> Source</t>
  </si>
  <si>
    <t>INPUTS (£)</t>
  </si>
  <si>
    <t>Defra (£)</t>
  </si>
  <si>
    <t>Govt (£)</t>
  </si>
  <si>
    <t>55m</t>
  </si>
  <si>
    <t>INPUTS (HR)</t>
  </si>
  <si>
    <t>Defra (FTEs)</t>
  </si>
  <si>
    <t>0.7</t>
  </si>
  <si>
    <t>OUTPUT 1</t>
  </si>
  <si>
    <t>Output Indicator 1.1</t>
  </si>
  <si>
    <t xml:space="preserve">Terrestrial protected areas created or under improved management (million hectares) </t>
  </si>
  <si>
    <r>
      <rPr>
        <b/>
        <sz val="9"/>
        <color rgb="FF000000"/>
        <rFont val="Arial"/>
      </rPr>
      <t xml:space="preserve">MILESTONES &amp; TARGETS
</t>
    </r>
    <r>
      <rPr>
        <sz val="9"/>
        <color rgb="FF000000"/>
        <rFont val="Arial"/>
      </rPr>
      <t xml:space="preserve">Assumes $210m total fund value at launch for GBF Fund core indicators and includes a zero baseline at the start of the GBF Fund (June 2024). UK attribution of £15m ($19.7m) as per Trustee Report (Sept 24). 
All KPIs are expected achieved results aggregated from anticipated individual project result frameworks. Therefore targets are adjusted for project success rating (80%)). Milestone are based on the proportional value of the UK contribution to the total funding pot. Note that meeting milestones will depend on the rate at which projects are approved in work programmes.  Not all available funding will be allocated to approved projects in the year it is first made available. Narrative reporting will be provided where needed. 
</t>
    </r>
    <r>
      <rPr>
        <b/>
        <sz val="9"/>
        <color rgb="FF000000"/>
        <rFont val="Arial"/>
      </rPr>
      <t xml:space="preserve">
Assumptions made in acheiveing the outputs:
 </t>
    </r>
    <r>
      <rPr>
        <sz val="9"/>
        <color rgb="FF000000"/>
        <rFont val="Arial"/>
      </rPr>
      <t xml:space="preserve">- GBF Fund achieves required capitalisation level from donors, project proposals meet funding requirements, 
 - Agencies fulfil their role in the delivery chain, 
 - GEF Secretariat are sufficiently resourced to manage new fund, 
 - GEF Secretariat make positive changes in response to independent review of GBF Fund
</t>
    </r>
    <r>
      <rPr>
        <b/>
        <sz val="9"/>
        <color rgb="FF000000"/>
        <rFont val="Arial"/>
      </rPr>
      <t xml:space="preserve">
Calculations:
</t>
    </r>
    <r>
      <rPr>
        <sz val="9"/>
        <color rgb="FF000000"/>
        <rFont val="Arial"/>
      </rPr>
      <t xml:space="preserve">- Milestones are based on the relative level of UK contribution compared to the anticipated results from a £100m investment as modelled in the Business Case. Spend is cumulative.
- This level of real-world outputs are unlikely to be realised by June 2027. due to the time lag resulting from a) staggered contributions, b) project approval and operationalisation, c) project delivery timelines, and d) output realisation. </t>
    </r>
  </si>
  <si>
    <t>Output Indicator 1.2</t>
  </si>
  <si>
    <t>Marine protected areas created or under improved management (million hectares)</t>
  </si>
  <si>
    <t>Output Indicator 1.3</t>
  </si>
  <si>
    <t xml:space="preserve">Area of land and ecosystems under restoration (thousand hectares) </t>
  </si>
  <si>
    <t>Output Indicator 1.4</t>
  </si>
  <si>
    <t>Area of landscapes under improved practices (millions hectares; excl. protected areas)</t>
  </si>
  <si>
    <t>Output Indicator 1.5</t>
  </si>
  <si>
    <t>Area of marine habitat under improved practices to benefit biodiversity (million hectares; excl. protected areas)</t>
  </si>
  <si>
    <t>Output Indicator 1.6</t>
  </si>
  <si>
    <t>Number of direct beneficiaries disaggregated by gender as co-benefit of GEF investment (thousands)</t>
  </si>
  <si>
    <t>In absence of programme-level ancitpated beneficiary data, no GBF Fund target is proposed, but the indicator will be monitored across the GBF Fund programme</t>
  </si>
  <si>
    <t>Achieved (Total)</t>
  </si>
  <si>
    <t>Disaggregation (women)</t>
  </si>
  <si>
    <t>% Women</t>
  </si>
  <si>
    <t>Output Indicator 1.7</t>
  </si>
  <si>
    <t xml:space="preserve">Co-financing ratio of GBF Fund projects (e.g. £7 of funds leveraged for £1 of GBF Fund financing is 7:1) </t>
  </si>
  <si>
    <t>7:1 (GEF7 achieved target)</t>
  </si>
  <si>
    <t>8:1</t>
  </si>
  <si>
    <t>Output Indicator 1.8</t>
  </si>
  <si>
    <t>36 percent + 3 percent of funding allocated to small island developing States (SIDS)/least 
developed countries (LDCs</t>
  </si>
  <si>
    <t>Output Indicator 1.9</t>
  </si>
  <si>
    <t>25 percent to be programmed through international financing institutions (IFIs)</t>
  </si>
  <si>
    <t>Output Indicator 1.10</t>
  </si>
  <si>
    <t>Share of 20 percent by 2030 to support actions by Indigenous Peoples and Local Communities (IPLCs)</t>
  </si>
  <si>
    <t>In-year Result</t>
  </si>
  <si>
    <t>In-year Target</t>
  </si>
  <si>
    <t>Cumulative Result</t>
  </si>
  <si>
    <t>Cumulative Target</t>
  </si>
  <si>
    <t>Of Whom Men</t>
  </si>
  <si>
    <t>Of Whom Women</t>
  </si>
  <si>
    <t>1. People supported to adapt to climate change (#)</t>
  </si>
  <si>
    <t>N/A</t>
  </si>
  <si>
    <t>a) Mexico</t>
  </si>
  <si>
    <t>b) Brazil</t>
  </si>
  <si>
    <t>c) Gabon</t>
  </si>
  <si>
    <t>d) Congo DR</t>
  </si>
  <si>
    <t>e) Peru</t>
  </si>
  <si>
    <t>f) Cameroon</t>
  </si>
  <si>
    <t>g) Congo</t>
  </si>
  <si>
    <t>h) CAR</t>
  </si>
  <si>
    <t>6. Greenhouse Gas Emissions Avoided (tCO2e)</t>
  </si>
  <si>
    <t>11. Public Finance Leveraged (£m)</t>
  </si>
  <si>
    <t>12. Private Finance Leveraged (£m)</t>
  </si>
  <si>
    <t>17. Land Sustainably Managed (ha)</t>
  </si>
  <si>
    <t>TA 1. Countries Supported (#)</t>
  </si>
  <si>
    <t>TA 2. Individuals supported (#)</t>
  </si>
  <si>
    <t>DI KPI 1: Area under Sunstainable Mangement (ha)</t>
  </si>
  <si>
    <t>DI KPI 1a: Annual area of ecosystem (land or sea) which has benefitted from a restoration activity as a result of Defra ODA funding (ha)</t>
  </si>
  <si>
    <t>DI 1b: Annual area of land or sea that has been put under some form or protection or had existing protections increased as a result of Defra ODA funding. (OECM’s)</t>
  </si>
  <si>
    <t>Global Biodiveristy Framework Fund - UK Investment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</si>
</sst>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0%"/>
    <numFmt numFmtId="165" formatCode="0.0"/>
    <numFmt numFmtId="166" formatCode="#,##0.000"/>
    <numFmt numFmtId="167" formatCode="_-* #,##0_-;\-* #,##0_-;_-* &quot;-&quot;??_-;_-@_-"/>
    <numFmt numFmtId="168" formatCode="_-[$$-409]* #,##0_ ;_-[$$-409]* \-#,##0\ ;_-[$$-409]* &quot;-&quot;??_ ;_-@_ "/>
    <numFmt numFmtId="169" formatCode="_-[$£-809]* #,##0_-;\-[$£-809]* #,##0_-;_-[$£-809]* &quot;-&quot;??_-;_-@_-"/>
    <numFmt numFmtId="170" formatCode="_-[$$-409]* #,##0.00000_ ;_-[$$-409]* \-#,##0.00000\ ;_-[$$-409]* &quot;-&quot;??_ ;_-@_ "/>
  </numFmts>
  <fonts count="32" x14ac:knownFonts="1">
    <font>
      <sz val="10"/>
      <name val="Arial"/>
    </font>
    <font>
      <sz val="11"/>
      <color theme="1"/>
      <name val="Calibri"/>
      <scheme val="minor"/>
    </font>
    <font>
      <sz val="11"/>
      <color theme="1"/>
      <name val="Calibri"/>
      <family val="2"/>
      <scheme val="minor"/>
    </font>
    <font>
      <sz val="11"/>
      <color theme="1"/>
      <name val="Calibri"/>
      <family val="2"/>
      <scheme val="minor"/>
    </font>
    <font>
      <b/>
      <sz val="9"/>
      <name val="Arial"/>
      <family val="2"/>
    </font>
    <font>
      <sz val="9"/>
      <name val="Arial"/>
      <family val="2"/>
    </font>
    <font>
      <sz val="9"/>
      <color rgb="FFFF0000"/>
      <name val="Arial"/>
      <family val="2"/>
    </font>
    <font>
      <sz val="10"/>
      <name val="Arial"/>
      <family val="2"/>
    </font>
    <font>
      <sz val="9"/>
      <color rgb="FF000000"/>
      <name val="Arial"/>
      <family val="2"/>
    </font>
    <font>
      <sz val="9"/>
      <color theme="1"/>
      <name val="Arial"/>
      <family val="2"/>
    </font>
    <font>
      <b/>
      <sz val="9"/>
      <color theme="1"/>
      <name val="Arial"/>
      <family val="2"/>
    </font>
    <font>
      <b/>
      <sz val="10"/>
      <name val="Arial"/>
      <family val="2"/>
    </font>
    <font>
      <sz val="10"/>
      <name val="Arial"/>
      <family val="2"/>
    </font>
    <font>
      <b/>
      <u/>
      <sz val="10"/>
      <name val="Arial"/>
      <family val="2"/>
    </font>
    <font>
      <u/>
      <sz val="10"/>
      <color theme="10"/>
      <name val="Arial"/>
    </font>
    <font>
      <b/>
      <sz val="10"/>
      <name val="Arial"/>
    </font>
    <font>
      <b/>
      <sz val="9"/>
      <color rgb="FF000000"/>
      <name val="Arial"/>
    </font>
    <font>
      <sz val="9"/>
      <color rgb="FF000000"/>
      <name val="Arial"/>
    </font>
    <font>
      <sz val="10"/>
      <name val="Arial"/>
    </font>
    <font>
      <sz val="11"/>
      <color rgb="FF242424"/>
      <name val="Aptos Narrow"/>
      <charset val="1"/>
    </font>
    <font>
      <sz val="10"/>
      <color rgb="FF000000"/>
      <name val="Arial"/>
      <charset val="1"/>
    </font>
    <font>
      <u/>
      <sz val="11"/>
      <color theme="10"/>
      <name val="Calibri"/>
      <family val="2"/>
      <scheme val="minor"/>
    </font>
    <font>
      <b/>
      <sz val="10"/>
      <color rgb="FF000000"/>
      <name val="Arial"/>
    </font>
    <font>
      <b/>
      <sz val="10"/>
      <color rgb="FF242424"/>
      <name val="Arial"/>
    </font>
    <font>
      <sz val="10"/>
      <color rgb="FF000000"/>
      <name val="Arial"/>
    </font>
    <font>
      <sz val="10"/>
      <color rgb="FF92D050"/>
      <name val="Arial"/>
    </font>
    <font>
      <sz val="10"/>
      <color rgb="FFFFC000"/>
      <name val="Arial"/>
    </font>
    <font>
      <sz val="10"/>
      <color rgb="FF00B0F0"/>
      <name val="Arial"/>
    </font>
    <font>
      <sz val="10"/>
      <color rgb="FFFF0000"/>
      <name val="Arial"/>
      <family val="2"/>
    </font>
    <font>
      <sz val="10"/>
      <color rgb="FF000000"/>
      <name val="Arial"/>
      <family val="2"/>
    </font>
    <font>
      <sz val="10"/>
      <color rgb="FFFF0000"/>
      <name val="Arial"/>
    </font>
    <font>
      <sz val="10"/>
      <color theme="1"/>
      <name val="Arial"/>
    </font>
  </fonts>
  <fills count="41">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indexed="42"/>
        <bgColor indexed="64"/>
      </patternFill>
    </fill>
    <fill>
      <patternFill patternType="solid">
        <fgColor indexed="9"/>
        <bgColor indexed="64"/>
      </patternFill>
    </fill>
    <fill>
      <patternFill patternType="solid">
        <fgColor indexed="22"/>
        <bgColor indexed="64"/>
      </patternFill>
    </fill>
    <fill>
      <patternFill patternType="solid">
        <fgColor indexed="47"/>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rgb="FF99CCFF"/>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2" tint="-0.49998474074526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4" tint="0.79998168889431442"/>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39997558519241921"/>
        <bgColor indexed="65"/>
      </patternFill>
    </fill>
    <fill>
      <patternFill patternType="solid">
        <fgColor theme="0"/>
        <bgColor indexed="64"/>
      </patternFill>
    </fill>
  </fills>
  <borders count="2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64"/>
      </bottom>
      <diagonal/>
    </border>
    <border>
      <left style="medium">
        <color rgb="FF000000"/>
      </left>
      <right style="medium">
        <color rgb="FF000000"/>
      </right>
      <top style="medium">
        <color rgb="FF000000"/>
      </top>
      <bottom style="medium">
        <color rgb="FF000000"/>
      </bottom>
      <diagonal/>
    </border>
    <border>
      <left/>
      <right style="thin">
        <color rgb="FF000000"/>
      </right>
      <top/>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rgb="FF000000"/>
      </right>
      <top style="medium">
        <color rgb="FF000000"/>
      </top>
      <bottom style="medium">
        <color rgb="FF000000"/>
      </bottom>
      <diagonal/>
    </border>
    <border>
      <left/>
      <right/>
      <top style="thin">
        <color theme="4" tint="0.39997558519241921"/>
      </top>
      <bottom style="thin">
        <color theme="4" tint="0.39997558519241921"/>
      </bottom>
      <diagonal/>
    </border>
  </borders>
  <cellStyleXfs count="12">
    <xf numFmtId="0" fontId="0" fillId="0" borderId="0"/>
    <xf numFmtId="0" fontId="12" fillId="0" borderId="0"/>
    <xf numFmtId="0" fontId="14" fillId="0" borderId="0" applyNumberFormat="0" applyFill="0" applyBorder="0" applyAlignment="0" applyProtection="0"/>
    <xf numFmtId="9" fontId="18" fillId="0" borderId="0" applyFont="0" applyFill="0" applyBorder="0" applyAlignment="0" applyProtection="0"/>
    <xf numFmtId="0" fontId="21" fillId="0" borderId="0" applyNumberFormat="0" applyFill="0" applyBorder="0" applyAlignment="0" applyProtection="0"/>
    <xf numFmtId="0" fontId="3" fillId="0" borderId="0"/>
    <xf numFmtId="0" fontId="2" fillId="34"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39" borderId="0" applyNumberFormat="0" applyBorder="0" applyAlignment="0" applyProtection="0"/>
  </cellStyleXfs>
  <cellXfs count="284">
    <xf numFmtId="0" fontId="0" fillId="0" borderId="0" xfId="0"/>
    <xf numFmtId="0" fontId="0" fillId="0" borderId="0" xfId="0" applyAlignment="1">
      <alignment wrapText="1"/>
    </xf>
    <xf numFmtId="0" fontId="7" fillId="0" borderId="0" xfId="0" applyFont="1" applyAlignment="1">
      <alignment wrapText="1"/>
    </xf>
    <xf numFmtId="49" fontId="4" fillId="2" borderId="1" xfId="1" applyNumberFormat="1" applyFont="1" applyFill="1" applyBorder="1" applyAlignment="1">
      <alignment vertical="top" wrapText="1"/>
    </xf>
    <xf numFmtId="49" fontId="4" fillId="0" borderId="8" xfId="1" applyNumberFormat="1" applyFont="1" applyBorder="1" applyAlignment="1">
      <alignment vertical="top" wrapText="1"/>
    </xf>
    <xf numFmtId="49" fontId="12" fillId="0" borderId="0" xfId="1" applyNumberFormat="1"/>
    <xf numFmtId="49" fontId="4" fillId="2" borderId="0" xfId="1" applyNumberFormat="1" applyFont="1" applyFill="1" applyAlignment="1">
      <alignment vertical="top" wrapText="1"/>
    </xf>
    <xf numFmtId="49" fontId="4" fillId="0" borderId="0" xfId="1" applyNumberFormat="1" applyFont="1" applyAlignment="1">
      <alignment vertical="top" wrapText="1"/>
    </xf>
    <xf numFmtId="49" fontId="4" fillId="2" borderId="9" xfId="1" applyNumberFormat="1" applyFont="1" applyFill="1" applyBorder="1" applyAlignment="1">
      <alignment vertical="top" wrapText="1"/>
    </xf>
    <xf numFmtId="49" fontId="4" fillId="4" borderId="1" xfId="1" applyNumberFormat="1" applyFont="1" applyFill="1" applyBorder="1" applyAlignment="1">
      <alignment vertical="top" wrapText="1"/>
    </xf>
    <xf numFmtId="49" fontId="4" fillId="4" borderId="9" xfId="1" applyNumberFormat="1" applyFont="1" applyFill="1" applyBorder="1" applyAlignment="1">
      <alignment vertical="top" wrapText="1"/>
    </xf>
    <xf numFmtId="49" fontId="4" fillId="7" borderId="12" xfId="1" applyNumberFormat="1" applyFont="1" applyFill="1" applyBorder="1" applyAlignment="1">
      <alignment vertical="top" wrapText="1"/>
    </xf>
    <xf numFmtId="49" fontId="4" fillId="0" borderId="1" xfId="1" applyNumberFormat="1" applyFont="1" applyBorder="1" applyAlignment="1">
      <alignment horizontal="center" vertical="top" wrapText="1"/>
    </xf>
    <xf numFmtId="49" fontId="9" fillId="0" borderId="3" xfId="1" applyNumberFormat="1" applyFont="1" applyBorder="1" applyAlignment="1">
      <alignment vertical="top" wrapText="1"/>
    </xf>
    <xf numFmtId="49" fontId="5" fillId="0" borderId="1" xfId="1" applyNumberFormat="1" applyFont="1" applyBorder="1" applyAlignment="1">
      <alignment vertical="top" wrapText="1"/>
    </xf>
    <xf numFmtId="49" fontId="4" fillId="0" borderId="2" xfId="1" applyNumberFormat="1" applyFont="1" applyBorder="1" applyAlignment="1">
      <alignment horizontal="center" vertical="top" wrapText="1"/>
    </xf>
    <xf numFmtId="49" fontId="5" fillId="0" borderId="8" xfId="1" applyNumberFormat="1" applyFont="1" applyBorder="1" applyAlignment="1">
      <alignment vertical="top" wrapText="1"/>
    </xf>
    <xf numFmtId="49" fontId="5" fillId="0" borderId="6" xfId="1" applyNumberFormat="1" applyFont="1" applyBorder="1" applyAlignment="1">
      <alignment vertical="top" wrapText="1"/>
    </xf>
    <xf numFmtId="49" fontId="4" fillId="4" borderId="8" xfId="1" applyNumberFormat="1" applyFont="1" applyFill="1" applyBorder="1" applyAlignment="1">
      <alignment horizontal="center" vertical="top" wrapText="1"/>
    </xf>
    <xf numFmtId="49" fontId="4" fillId="4" borderId="15" xfId="1" applyNumberFormat="1" applyFont="1" applyFill="1" applyBorder="1" applyAlignment="1">
      <alignment horizontal="center" vertical="top" wrapText="1"/>
    </xf>
    <xf numFmtId="49" fontId="4" fillId="3" borderId="1" xfId="1" applyNumberFormat="1" applyFont="1" applyFill="1" applyBorder="1" applyAlignment="1">
      <alignment vertical="top" wrapText="1"/>
    </xf>
    <xf numFmtId="49" fontId="4" fillId="0" borderId="1" xfId="1" applyNumberFormat="1" applyFont="1" applyBorder="1" applyAlignment="1">
      <alignment vertical="top" wrapText="1"/>
    </xf>
    <xf numFmtId="49" fontId="5" fillId="8" borderId="1" xfId="1" applyNumberFormat="1" applyFont="1" applyFill="1" applyBorder="1" applyAlignment="1">
      <alignment vertical="top" wrapText="1"/>
    </xf>
    <xf numFmtId="49" fontId="4" fillId="4" borderId="9" xfId="1" applyNumberFormat="1" applyFont="1" applyFill="1" applyBorder="1" applyAlignment="1">
      <alignment horizontal="center" vertical="top" wrapText="1"/>
    </xf>
    <xf numFmtId="49" fontId="5" fillId="0" borderId="7" xfId="1" applyNumberFormat="1" applyFont="1" applyBorder="1" applyAlignment="1">
      <alignment vertical="top" wrapText="1"/>
    </xf>
    <xf numFmtId="49" fontId="5" fillId="0" borderId="8" xfId="1" applyNumberFormat="1" applyFont="1" applyBorder="1" applyAlignment="1">
      <alignment horizontal="center" vertical="top" wrapText="1"/>
    </xf>
    <xf numFmtId="49" fontId="4" fillId="0" borderId="3" xfId="1" applyNumberFormat="1" applyFont="1" applyBorder="1" applyAlignment="1">
      <alignment vertical="top" wrapText="1"/>
    </xf>
    <xf numFmtId="49" fontId="5" fillId="0" borderId="2" xfId="1" applyNumberFormat="1" applyFont="1" applyBorder="1" applyAlignment="1">
      <alignment vertical="top" wrapText="1"/>
    </xf>
    <xf numFmtId="49" fontId="4" fillId="3" borderId="4" xfId="1" applyNumberFormat="1" applyFont="1" applyFill="1" applyBorder="1" applyAlignment="1">
      <alignment vertical="top" wrapText="1"/>
    </xf>
    <xf numFmtId="49" fontId="4" fillId="8" borderId="3" xfId="1" applyNumberFormat="1" applyFont="1" applyFill="1" applyBorder="1" applyAlignment="1">
      <alignment vertical="top" wrapText="1"/>
    </xf>
    <xf numFmtId="49" fontId="4" fillId="8" borderId="10" xfId="1" applyNumberFormat="1" applyFont="1" applyFill="1" applyBorder="1" applyAlignment="1">
      <alignment vertical="top" wrapText="1"/>
    </xf>
    <xf numFmtId="49" fontId="4" fillId="3" borderId="5" xfId="1" applyNumberFormat="1" applyFont="1" applyFill="1" applyBorder="1" applyAlignment="1">
      <alignment vertical="top" wrapText="1"/>
    </xf>
    <xf numFmtId="49" fontId="4" fillId="0" borderId="3" xfId="1" applyNumberFormat="1" applyFont="1" applyBorder="1" applyAlignment="1">
      <alignment horizontal="right" vertical="top" wrapText="1"/>
    </xf>
    <xf numFmtId="49" fontId="4" fillId="0" borderId="10" xfId="1" applyNumberFormat="1" applyFont="1" applyBorder="1" applyAlignment="1">
      <alignment horizontal="right" vertical="top" wrapText="1"/>
    </xf>
    <xf numFmtId="49" fontId="4" fillId="8" borderId="9" xfId="1" applyNumberFormat="1" applyFont="1" applyFill="1" applyBorder="1" applyAlignment="1">
      <alignment vertical="top" wrapText="1"/>
    </xf>
    <xf numFmtId="49" fontId="4" fillId="8" borderId="1" xfId="1" applyNumberFormat="1" applyFont="1" applyFill="1" applyBorder="1" applyAlignment="1">
      <alignment vertical="top" wrapText="1"/>
    </xf>
    <xf numFmtId="49" fontId="4" fillId="3" borderId="2" xfId="1" applyNumberFormat="1" applyFont="1" applyFill="1" applyBorder="1" applyAlignment="1">
      <alignment vertical="top" wrapText="1"/>
    </xf>
    <xf numFmtId="49" fontId="4" fillId="0" borderId="10" xfId="1" applyNumberFormat="1" applyFont="1" applyBorder="1" applyAlignment="1">
      <alignment vertical="top" wrapText="1"/>
    </xf>
    <xf numFmtId="49" fontId="4" fillId="7" borderId="9" xfId="1" applyNumberFormat="1" applyFont="1" applyFill="1" applyBorder="1" applyAlignment="1">
      <alignment vertical="top" wrapText="1"/>
    </xf>
    <xf numFmtId="0" fontId="4" fillId="0" borderId="10" xfId="1" applyFont="1" applyBorder="1" applyAlignment="1">
      <alignment horizontal="right" vertical="top" wrapText="1"/>
    </xf>
    <xf numFmtId="49" fontId="7" fillId="0" borderId="0" xfId="1" applyNumberFormat="1" applyFont="1"/>
    <xf numFmtId="49" fontId="4" fillId="0" borderId="5" xfId="1" applyNumberFormat="1" applyFont="1" applyBorder="1" applyAlignment="1">
      <alignment horizontal="center" vertical="top" wrapText="1"/>
    </xf>
    <xf numFmtId="49" fontId="4" fillId="2" borderId="9" xfId="1" applyNumberFormat="1" applyFont="1" applyFill="1" applyBorder="1" applyAlignment="1">
      <alignment horizontal="center" vertical="center" wrapText="1"/>
    </xf>
    <xf numFmtId="49" fontId="4" fillId="4" borderId="1" xfId="1" applyNumberFormat="1" applyFont="1" applyFill="1" applyBorder="1" applyAlignment="1">
      <alignment horizontal="center" vertical="center" wrapText="1"/>
    </xf>
    <xf numFmtId="49" fontId="4" fillId="4" borderId="9" xfId="1" applyNumberFormat="1" applyFont="1" applyFill="1" applyBorder="1" applyAlignment="1">
      <alignment horizontal="center" vertical="center" wrapText="1"/>
    </xf>
    <xf numFmtId="49" fontId="4" fillId="0" borderId="1" xfId="1" applyNumberFormat="1" applyFont="1" applyBorder="1" applyAlignment="1">
      <alignment horizontal="center" vertical="center" wrapText="1"/>
    </xf>
    <xf numFmtId="49" fontId="9" fillId="0" borderId="3" xfId="1" applyNumberFormat="1" applyFont="1" applyBorder="1" applyAlignment="1">
      <alignment horizontal="center" vertical="center" wrapText="1"/>
    </xf>
    <xf numFmtId="49" fontId="4" fillId="0" borderId="10" xfId="1" applyNumberFormat="1" applyFont="1" applyBorder="1" applyAlignment="1">
      <alignment horizontal="center" vertical="center" wrapText="1"/>
    </xf>
    <xf numFmtId="49" fontId="4" fillId="0" borderId="5" xfId="1" applyNumberFormat="1" applyFont="1" applyBorder="1" applyAlignment="1">
      <alignment horizontal="center" vertical="center" wrapText="1"/>
    </xf>
    <xf numFmtId="49" fontId="5" fillId="8" borderId="1" xfId="1" applyNumberFormat="1" applyFont="1" applyFill="1" applyBorder="1" applyAlignment="1">
      <alignment horizontal="center" vertical="center" wrapText="1"/>
    </xf>
    <xf numFmtId="49" fontId="5" fillId="0" borderId="1" xfId="1" applyNumberFormat="1" applyFont="1" applyBorder="1" applyAlignment="1">
      <alignment horizontal="center" vertical="center" wrapText="1"/>
    </xf>
    <xf numFmtId="0" fontId="8" fillId="0" borderId="0" xfId="1" applyFont="1" applyAlignment="1">
      <alignment horizontal="center" vertical="center" wrapText="1"/>
    </xf>
    <xf numFmtId="49" fontId="5" fillId="0" borderId="8" xfId="1" applyNumberFormat="1" applyFont="1" applyBorder="1" applyAlignment="1">
      <alignment horizontal="center" vertical="center" wrapText="1"/>
    </xf>
    <xf numFmtId="49" fontId="4" fillId="4" borderId="8" xfId="1" applyNumberFormat="1" applyFont="1" applyFill="1" applyBorder="1" applyAlignment="1">
      <alignment horizontal="center" vertical="center" wrapText="1"/>
    </xf>
    <xf numFmtId="49" fontId="4" fillId="4" borderId="15" xfId="1" applyNumberFormat="1" applyFont="1" applyFill="1" applyBorder="1" applyAlignment="1">
      <alignment horizontal="center" vertical="center" wrapText="1"/>
    </xf>
    <xf numFmtId="49" fontId="4" fillId="2" borderId="9" xfId="1" applyNumberFormat="1" applyFont="1" applyFill="1" applyBorder="1" applyAlignment="1">
      <alignment horizontal="center" vertical="top" wrapText="1"/>
    </xf>
    <xf numFmtId="49" fontId="4" fillId="4" borderId="1" xfId="1" applyNumberFormat="1" applyFont="1" applyFill="1" applyBorder="1" applyAlignment="1">
      <alignment horizontal="center" vertical="top" wrapText="1"/>
    </xf>
    <xf numFmtId="49" fontId="9" fillId="0" borderId="3" xfId="1" applyNumberFormat="1" applyFont="1" applyBorder="1" applyAlignment="1">
      <alignment horizontal="center" vertical="top" wrapText="1"/>
    </xf>
    <xf numFmtId="49" fontId="4" fillId="0" borderId="10" xfId="1" applyNumberFormat="1" applyFont="1" applyBorder="1" applyAlignment="1">
      <alignment horizontal="center" vertical="top" wrapText="1"/>
    </xf>
    <xf numFmtId="49" fontId="5" fillId="8" borderId="1" xfId="1" applyNumberFormat="1" applyFont="1" applyFill="1" applyBorder="1" applyAlignment="1">
      <alignment horizontal="center" vertical="top" wrapText="1"/>
    </xf>
    <xf numFmtId="49" fontId="5" fillId="0" borderId="1" xfId="1" applyNumberFormat="1" applyFont="1" applyBorder="1" applyAlignment="1">
      <alignment horizontal="center" vertical="top" wrapText="1"/>
    </xf>
    <xf numFmtId="49" fontId="4" fillId="0" borderId="11" xfId="1" applyNumberFormat="1" applyFont="1" applyBorder="1" applyAlignment="1">
      <alignment horizontal="center" vertical="top" wrapText="1"/>
    </xf>
    <xf numFmtId="49" fontId="8" fillId="0" borderId="3" xfId="1" applyNumberFormat="1" applyFont="1" applyBorder="1" applyAlignment="1">
      <alignment vertical="top" wrapText="1"/>
    </xf>
    <xf numFmtId="49" fontId="5" fillId="6" borderId="1" xfId="1" applyNumberFormat="1" applyFont="1" applyFill="1" applyBorder="1" applyAlignment="1">
      <alignment vertical="top" wrapText="1"/>
    </xf>
    <xf numFmtId="49" fontId="11" fillId="0" borderId="0" xfId="1" applyNumberFormat="1" applyFont="1"/>
    <xf numFmtId="49" fontId="13" fillId="0" borderId="0" xfId="1" applyNumberFormat="1" applyFont="1"/>
    <xf numFmtId="0" fontId="14" fillId="0" borderId="0" xfId="2"/>
    <xf numFmtId="9" fontId="0" fillId="0" borderId="0" xfId="0" applyNumberFormat="1"/>
    <xf numFmtId="164" fontId="0" fillId="0" borderId="0" xfId="0" applyNumberFormat="1"/>
    <xf numFmtId="0" fontId="15" fillId="0" borderId="0" xfId="0" applyFont="1" applyAlignment="1">
      <alignment wrapText="1"/>
    </xf>
    <xf numFmtId="2" fontId="5" fillId="0" borderId="3" xfId="1" applyNumberFormat="1" applyFont="1" applyBorder="1" applyAlignment="1">
      <alignment horizontal="center" vertical="top" wrapText="1"/>
    </xf>
    <xf numFmtId="49" fontId="4" fillId="0" borderId="9" xfId="1" applyNumberFormat="1" applyFont="1" applyBorder="1" applyAlignment="1">
      <alignment horizontal="center" vertical="top" wrapText="1"/>
    </xf>
    <xf numFmtId="49" fontId="5" fillId="0" borderId="9" xfId="1" applyNumberFormat="1" applyFont="1" applyBorder="1" applyAlignment="1">
      <alignment vertical="top" wrapText="1"/>
    </xf>
    <xf numFmtId="0" fontId="11" fillId="0" borderId="0" xfId="0" applyFont="1" applyAlignment="1">
      <alignment wrapText="1"/>
    </xf>
    <xf numFmtId="2" fontId="5" fillId="0" borderId="0" xfId="1" applyNumberFormat="1" applyFont="1" applyAlignment="1">
      <alignment horizontal="center" wrapText="1"/>
    </xf>
    <xf numFmtId="165" fontId="5" fillId="0" borderId="0" xfId="1" applyNumberFormat="1" applyFont="1" applyAlignment="1">
      <alignment horizontal="center" wrapText="1"/>
    </xf>
    <xf numFmtId="2" fontId="5" fillId="0" borderId="3" xfId="1" applyNumberFormat="1" applyFont="1" applyBorder="1" applyAlignment="1">
      <alignment horizontal="center" vertical="center" wrapText="1"/>
    </xf>
    <xf numFmtId="2" fontId="5" fillId="0" borderId="0" xfId="1" applyNumberFormat="1" applyFont="1" applyAlignment="1">
      <alignment horizontal="center" vertical="center" wrapText="1"/>
    </xf>
    <xf numFmtId="49" fontId="6" fillId="0" borderId="1" xfId="1" applyNumberFormat="1" applyFont="1" applyBorder="1" applyAlignment="1">
      <alignment horizontal="center" vertical="center" wrapText="1"/>
    </xf>
    <xf numFmtId="49" fontId="4" fillId="0" borderId="8" xfId="1" applyNumberFormat="1" applyFont="1" applyBorder="1" applyAlignment="1">
      <alignment horizontal="center" vertical="top" wrapText="1"/>
    </xf>
    <xf numFmtId="9" fontId="5" fillId="0" borderId="3" xfId="3" applyFont="1" applyBorder="1" applyAlignment="1">
      <alignment horizontal="center" vertical="center" wrapText="1"/>
    </xf>
    <xf numFmtId="0" fontId="8" fillId="0" borderId="3" xfId="1" applyFont="1" applyBorder="1" applyAlignment="1">
      <alignment vertical="top" wrapText="1"/>
    </xf>
    <xf numFmtId="0" fontId="5" fillId="6" borderId="1" xfId="1" applyFont="1" applyFill="1" applyBorder="1" applyAlignment="1">
      <alignment vertical="top" wrapText="1"/>
    </xf>
    <xf numFmtId="0" fontId="5" fillId="0" borderId="3" xfId="1" applyFont="1" applyBorder="1" applyAlignment="1">
      <alignment horizontal="center" vertical="top" wrapText="1"/>
    </xf>
    <xf numFmtId="9" fontId="5" fillId="0" borderId="3" xfId="3" applyFont="1" applyBorder="1" applyAlignment="1">
      <alignment horizontal="center" vertical="top" wrapText="1"/>
    </xf>
    <xf numFmtId="165" fontId="5" fillId="0" borderId="3" xfId="1" applyNumberFormat="1" applyFont="1" applyBorder="1" applyAlignment="1">
      <alignment horizontal="center" vertical="top" wrapText="1"/>
    </xf>
    <xf numFmtId="165" fontId="5" fillId="0" borderId="1" xfId="1" applyNumberFormat="1" applyFont="1" applyBorder="1" applyAlignment="1">
      <alignment horizontal="center" vertical="center" wrapText="1"/>
    </xf>
    <xf numFmtId="0" fontId="15" fillId="0" borderId="0" xfId="0" applyFont="1"/>
    <xf numFmtId="167" fontId="0" fillId="0" borderId="0" xfId="0" applyNumberFormat="1"/>
    <xf numFmtId="2" fontId="5" fillId="0" borderId="1" xfId="1" applyNumberFormat="1" applyFont="1" applyBorder="1" applyAlignment="1">
      <alignment vertical="top" wrapText="1"/>
    </xf>
    <xf numFmtId="2" fontId="0" fillId="0" borderId="0" xfId="0" applyNumberFormat="1"/>
    <xf numFmtId="168" fontId="0" fillId="0" borderId="0" xfId="0" applyNumberFormat="1"/>
    <xf numFmtId="43" fontId="0" fillId="0" borderId="0" xfId="0" applyNumberFormat="1"/>
    <xf numFmtId="167" fontId="0" fillId="0" borderId="0" xfId="0" applyNumberFormat="1" applyAlignment="1">
      <alignment wrapText="1"/>
    </xf>
    <xf numFmtId="167" fontId="0" fillId="15" borderId="0" xfId="0" applyNumberFormat="1" applyFill="1" applyAlignment="1">
      <alignment wrapText="1"/>
    </xf>
    <xf numFmtId="167" fontId="0" fillId="14" borderId="0" xfId="0" applyNumberFormat="1" applyFill="1" applyAlignment="1">
      <alignment wrapText="1"/>
    </xf>
    <xf numFmtId="167" fontId="0" fillId="11" borderId="0" xfId="0" applyNumberFormat="1" applyFill="1" applyAlignment="1">
      <alignment wrapText="1"/>
    </xf>
    <xf numFmtId="167" fontId="0" fillId="12" borderId="0" xfId="0" applyNumberFormat="1" applyFill="1" applyAlignment="1">
      <alignment wrapText="1"/>
    </xf>
    <xf numFmtId="167" fontId="0" fillId="19" borderId="0" xfId="0" applyNumberFormat="1" applyFill="1" applyAlignment="1">
      <alignment wrapText="1"/>
    </xf>
    <xf numFmtId="167" fontId="0" fillId="20" borderId="0" xfId="0" applyNumberFormat="1" applyFill="1" applyAlignment="1">
      <alignment wrapText="1"/>
    </xf>
    <xf numFmtId="167" fontId="0" fillId="22" borderId="0" xfId="0" applyNumberFormat="1" applyFill="1"/>
    <xf numFmtId="167" fontId="0" fillId="23" borderId="0" xfId="0" applyNumberFormat="1" applyFill="1"/>
    <xf numFmtId="167" fontId="0" fillId="25" borderId="0" xfId="0" applyNumberFormat="1" applyFill="1"/>
    <xf numFmtId="167" fontId="0" fillId="26" borderId="0" xfId="0" applyNumberFormat="1" applyFill="1"/>
    <xf numFmtId="167" fontId="0" fillId="28" borderId="0" xfId="0" applyNumberFormat="1" applyFill="1" applyAlignment="1">
      <alignment wrapText="1"/>
    </xf>
    <xf numFmtId="167" fontId="0" fillId="29" borderId="0" xfId="0" applyNumberFormat="1" applyFill="1" applyAlignment="1">
      <alignment wrapText="1"/>
    </xf>
    <xf numFmtId="167" fontId="0" fillId="29" borderId="0" xfId="0" applyNumberFormat="1" applyFill="1"/>
    <xf numFmtId="0" fontId="0" fillId="30" borderId="0" xfId="0" applyFill="1"/>
    <xf numFmtId="168" fontId="0" fillId="30" borderId="0" xfId="0" applyNumberFormat="1" applyFill="1"/>
    <xf numFmtId="9" fontId="0" fillId="30" borderId="0" xfId="0" applyNumberFormat="1" applyFill="1"/>
    <xf numFmtId="0" fontId="22" fillId="13" borderId="0" xfId="0" applyFont="1" applyFill="1" applyAlignment="1">
      <alignment wrapText="1"/>
    </xf>
    <xf numFmtId="168" fontId="22" fillId="13" borderId="0" xfId="0" applyNumberFormat="1" applyFont="1" applyFill="1" applyAlignment="1">
      <alignment wrapText="1"/>
    </xf>
    <xf numFmtId="9" fontId="22" fillId="13" borderId="0" xfId="0" applyNumberFormat="1" applyFont="1" applyFill="1" applyAlignment="1">
      <alignment wrapText="1"/>
    </xf>
    <xf numFmtId="167" fontId="22" fillId="16" borderId="0" xfId="0" applyNumberFormat="1" applyFont="1" applyFill="1" applyAlignment="1">
      <alignment wrapText="1"/>
    </xf>
    <xf numFmtId="167" fontId="22" fillId="17" borderId="0" xfId="0" applyNumberFormat="1" applyFont="1" applyFill="1" applyAlignment="1">
      <alignment wrapText="1"/>
    </xf>
    <xf numFmtId="167" fontId="22" fillId="18" borderId="0" xfId="0" applyNumberFormat="1" applyFont="1" applyFill="1" applyAlignment="1">
      <alignment wrapText="1"/>
    </xf>
    <xf numFmtId="167" fontId="22" fillId="27" borderId="0" xfId="0" applyNumberFormat="1" applyFont="1" applyFill="1" applyAlignment="1">
      <alignment wrapText="1"/>
    </xf>
    <xf numFmtId="167" fontId="22" fillId="24" borderId="0" xfId="0" applyNumberFormat="1" applyFont="1" applyFill="1" applyAlignment="1">
      <alignment wrapText="1"/>
    </xf>
    <xf numFmtId="167" fontId="22" fillId="21" borderId="0" xfId="0" applyNumberFormat="1" applyFont="1" applyFill="1" applyAlignment="1">
      <alignment wrapText="1"/>
    </xf>
    <xf numFmtId="167" fontId="22" fillId="0" borderId="0" xfId="0" applyNumberFormat="1" applyFont="1" applyAlignment="1">
      <alignment wrapText="1"/>
    </xf>
    <xf numFmtId="0" fontId="22" fillId="0" borderId="0" xfId="0" applyFont="1" applyAlignment="1">
      <alignment wrapText="1"/>
    </xf>
    <xf numFmtId="0" fontId="19" fillId="0" borderId="0" xfId="0" applyFont="1" applyAlignment="1">
      <alignment wrapText="1"/>
    </xf>
    <xf numFmtId="0" fontId="20" fillId="0" borderId="0" xfId="0" applyFont="1" applyAlignment="1">
      <alignment wrapText="1"/>
    </xf>
    <xf numFmtId="166" fontId="0" fillId="0" borderId="0" xfId="0" applyNumberFormat="1" applyAlignment="1">
      <alignment wrapText="1"/>
    </xf>
    <xf numFmtId="167" fontId="22" fillId="31" borderId="0" xfId="0" applyNumberFormat="1" applyFont="1" applyFill="1" applyAlignment="1">
      <alignment wrapText="1"/>
    </xf>
    <xf numFmtId="167" fontId="0" fillId="32" borderId="0" xfId="0" applyNumberFormat="1" applyFill="1"/>
    <xf numFmtId="1" fontId="15" fillId="0" borderId="0" xfId="0" applyNumberFormat="1" applyFont="1"/>
    <xf numFmtId="167" fontId="15" fillId="15" borderId="0" xfId="0" applyNumberFormat="1" applyFont="1" applyFill="1" applyAlignment="1">
      <alignment wrapText="1"/>
    </xf>
    <xf numFmtId="167" fontId="15" fillId="14" borderId="0" xfId="0" applyNumberFormat="1" applyFont="1" applyFill="1" applyAlignment="1">
      <alignment wrapText="1"/>
    </xf>
    <xf numFmtId="167" fontId="15" fillId="11" borderId="0" xfId="0" applyNumberFormat="1" applyFont="1" applyFill="1" applyAlignment="1">
      <alignment wrapText="1"/>
    </xf>
    <xf numFmtId="167" fontId="15" fillId="12" borderId="0" xfId="0" applyNumberFormat="1" applyFont="1" applyFill="1" applyAlignment="1">
      <alignment wrapText="1"/>
    </xf>
    <xf numFmtId="167" fontId="15" fillId="19" borderId="0" xfId="0" applyNumberFormat="1" applyFont="1" applyFill="1" applyAlignment="1">
      <alignment wrapText="1"/>
    </xf>
    <xf numFmtId="167" fontId="15" fillId="20" borderId="0" xfId="0" applyNumberFormat="1" applyFont="1" applyFill="1" applyAlignment="1">
      <alignment wrapText="1"/>
    </xf>
    <xf numFmtId="167" fontId="15" fillId="28" borderId="0" xfId="0" applyNumberFormat="1" applyFont="1" applyFill="1" applyAlignment="1">
      <alignment wrapText="1"/>
    </xf>
    <xf numFmtId="167" fontId="15" fillId="29" borderId="0" xfId="0" applyNumberFormat="1" applyFont="1" applyFill="1" applyAlignment="1">
      <alignment wrapText="1"/>
    </xf>
    <xf numFmtId="167" fontId="15" fillId="29" borderId="0" xfId="0" applyNumberFormat="1" applyFont="1" applyFill="1"/>
    <xf numFmtId="167" fontId="15" fillId="32" borderId="0" xfId="0" applyNumberFormat="1" applyFont="1" applyFill="1"/>
    <xf numFmtId="167" fontId="15" fillId="25" borderId="0" xfId="0" applyNumberFormat="1" applyFont="1" applyFill="1"/>
    <xf numFmtId="167" fontId="15" fillId="26" borderId="0" xfId="0" applyNumberFormat="1" applyFont="1" applyFill="1"/>
    <xf numFmtId="167" fontId="15" fillId="22" borderId="0" xfId="0" applyNumberFormat="1" applyFont="1" applyFill="1"/>
    <xf numFmtId="167" fontId="15" fillId="23" borderId="0" xfId="0" applyNumberFormat="1" applyFont="1" applyFill="1"/>
    <xf numFmtId="2" fontId="0" fillId="30" borderId="0" xfId="0" applyNumberFormat="1" applyFill="1"/>
    <xf numFmtId="169" fontId="0" fillId="0" borderId="0" xfId="0" applyNumberFormat="1"/>
    <xf numFmtId="168" fontId="7" fillId="0" borderId="0" xfId="1" applyNumberFormat="1" applyFont="1"/>
    <xf numFmtId="169" fontId="7" fillId="0" borderId="0" xfId="1" applyNumberFormat="1" applyFont="1"/>
    <xf numFmtId="0" fontId="23" fillId="0" borderId="0" xfId="0" applyFont="1"/>
    <xf numFmtId="1" fontId="5" fillId="0" borderId="3" xfId="1" applyNumberFormat="1" applyFont="1" applyBorder="1" applyAlignment="1">
      <alignment horizontal="center" vertical="center" wrapText="1"/>
    </xf>
    <xf numFmtId="43" fontId="0" fillId="0" borderId="0" xfId="0" applyNumberFormat="1" applyAlignment="1">
      <alignment wrapText="1"/>
    </xf>
    <xf numFmtId="2" fontId="5" fillId="0" borderId="11" xfId="1" applyNumberFormat="1" applyFont="1" applyBorder="1" applyAlignment="1">
      <alignment horizontal="center" vertical="top" wrapText="1"/>
    </xf>
    <xf numFmtId="0" fontId="8" fillId="0" borderId="16" xfId="1" applyFont="1" applyBorder="1" applyAlignment="1">
      <alignment horizontal="center"/>
    </xf>
    <xf numFmtId="49" fontId="5" fillId="0" borderId="16" xfId="1" applyNumberFormat="1" applyFont="1" applyBorder="1" applyAlignment="1">
      <alignment horizontal="center" vertical="top" wrapText="1"/>
    </xf>
    <xf numFmtId="0" fontId="22" fillId="0" borderId="0" xfId="0" applyFont="1"/>
    <xf numFmtId="0" fontId="24" fillId="0" borderId="0" xfId="0" applyFont="1"/>
    <xf numFmtId="0" fontId="0" fillId="11" borderId="0" xfId="0" applyFill="1"/>
    <xf numFmtId="167" fontId="0" fillId="11" borderId="0" xfId="0" applyNumberFormat="1" applyFill="1"/>
    <xf numFmtId="0" fontId="0" fillId="12" borderId="0" xfId="0" applyFill="1"/>
    <xf numFmtId="167" fontId="0" fillId="12" borderId="0" xfId="0" applyNumberFormat="1" applyFill="1"/>
    <xf numFmtId="0" fontId="0" fillId="19" borderId="0" xfId="0" applyFill="1"/>
    <xf numFmtId="167" fontId="0" fillId="19" borderId="0" xfId="0" applyNumberFormat="1" applyFill="1"/>
    <xf numFmtId="0" fontId="0" fillId="20" borderId="0" xfId="0" applyFill="1"/>
    <xf numFmtId="167" fontId="0" fillId="20" borderId="0" xfId="0" applyNumberFormat="1" applyFill="1"/>
    <xf numFmtId="0" fontId="0" fillId="28" borderId="0" xfId="0" applyFill="1"/>
    <xf numFmtId="167" fontId="0" fillId="28" borderId="0" xfId="0" applyNumberFormat="1" applyFill="1"/>
    <xf numFmtId="0" fontId="0" fillId="25" borderId="0" xfId="0" applyFill="1"/>
    <xf numFmtId="0" fontId="0" fillId="29" borderId="0" xfId="0" applyFill="1"/>
    <xf numFmtId="0" fontId="0" fillId="26" borderId="0" xfId="0" applyFill="1"/>
    <xf numFmtId="0" fontId="0" fillId="22" borderId="0" xfId="0" applyFill="1"/>
    <xf numFmtId="0" fontId="0" fillId="23" borderId="0" xfId="0" applyFill="1"/>
    <xf numFmtId="0" fontId="0" fillId="32" borderId="0" xfId="0" applyFill="1"/>
    <xf numFmtId="0" fontId="0" fillId="33" borderId="0" xfId="0" applyFill="1"/>
    <xf numFmtId="167" fontId="0" fillId="33" borderId="0" xfId="0" applyNumberFormat="1" applyFill="1"/>
    <xf numFmtId="0" fontId="0" fillId="15" borderId="0" xfId="0" applyFill="1"/>
    <xf numFmtId="167" fontId="0" fillId="15" borderId="0" xfId="0" applyNumberFormat="1" applyFill="1"/>
    <xf numFmtId="0" fontId="0" fillId="14" borderId="0" xfId="0" applyFill="1"/>
    <xf numFmtId="167" fontId="0" fillId="14" borderId="0" xfId="0" applyNumberFormat="1" applyFill="1"/>
    <xf numFmtId="49" fontId="5" fillId="0" borderId="15" xfId="1" applyNumberFormat="1" applyFont="1" applyBorder="1" applyAlignment="1">
      <alignment horizontal="center" vertical="top" wrapText="1"/>
    </xf>
    <xf numFmtId="0" fontId="28" fillId="0" borderId="0" xfId="0" applyFont="1"/>
    <xf numFmtId="43" fontId="28" fillId="0" borderId="0" xfId="0" applyNumberFormat="1" applyFont="1"/>
    <xf numFmtId="0" fontId="7" fillId="0" borderId="0" xfId="0" applyFont="1"/>
    <xf numFmtId="0" fontId="30" fillId="0" borderId="0" xfId="0" applyFont="1"/>
    <xf numFmtId="167" fontId="15" fillId="0" borderId="0" xfId="0" applyNumberFormat="1" applyFont="1" applyAlignment="1">
      <alignment wrapText="1"/>
    </xf>
    <xf numFmtId="167" fontId="15" fillId="0" borderId="0" xfId="0" applyNumberFormat="1" applyFont="1" applyAlignment="1">
      <alignment vertical="top" wrapText="1"/>
    </xf>
    <xf numFmtId="1" fontId="5" fillId="0" borderId="11" xfId="1" applyNumberFormat="1" applyFont="1" applyBorder="1" applyAlignment="1">
      <alignment horizontal="center" vertical="center" wrapText="1"/>
    </xf>
    <xf numFmtId="165" fontId="4" fillId="4" borderId="9" xfId="1" applyNumberFormat="1" applyFont="1" applyFill="1" applyBorder="1" applyAlignment="1">
      <alignment horizontal="center" vertical="top" wrapText="1"/>
    </xf>
    <xf numFmtId="165" fontId="5" fillId="0" borderId="1" xfId="1" applyNumberFormat="1" applyFont="1" applyBorder="1" applyAlignment="1">
      <alignment horizontal="center" vertical="top" wrapText="1"/>
    </xf>
    <xf numFmtId="165" fontId="5" fillId="0" borderId="2" xfId="1" applyNumberFormat="1" applyFont="1" applyBorder="1" applyAlignment="1">
      <alignment vertical="top" wrapText="1"/>
    </xf>
    <xf numFmtId="165" fontId="5" fillId="0" borderId="1" xfId="1" applyNumberFormat="1" applyFont="1" applyBorder="1" applyAlignment="1">
      <alignment vertical="top" wrapText="1"/>
    </xf>
    <xf numFmtId="0" fontId="0" fillId="30" borderId="0" xfId="0" applyFill="1" applyAlignment="1">
      <alignment horizontal="left"/>
    </xf>
    <xf numFmtId="49" fontId="4" fillId="2" borderId="15" xfId="1" applyNumberFormat="1" applyFont="1" applyFill="1" applyBorder="1" applyAlignment="1">
      <alignment vertical="top" wrapText="1"/>
    </xf>
    <xf numFmtId="49" fontId="4" fillId="0" borderId="7" xfId="1" applyNumberFormat="1" applyFont="1" applyBorder="1" applyAlignment="1">
      <alignment horizontal="center" vertical="top" wrapText="1"/>
    </xf>
    <xf numFmtId="49" fontId="4" fillId="2" borderId="10" xfId="1" applyNumberFormat="1" applyFont="1" applyFill="1" applyBorder="1" applyAlignment="1">
      <alignment vertical="top" wrapText="1"/>
    </xf>
    <xf numFmtId="49" fontId="5" fillId="8" borderId="4" xfId="1" applyNumberFormat="1" applyFont="1" applyFill="1" applyBorder="1" applyAlignment="1">
      <alignment vertical="top" wrapText="1"/>
    </xf>
    <xf numFmtId="1" fontId="5" fillId="0" borderId="4" xfId="1" applyNumberFormat="1" applyFont="1" applyBorder="1" applyAlignment="1">
      <alignment horizontal="center" vertical="center" wrapText="1"/>
    </xf>
    <xf numFmtId="49" fontId="5" fillId="0" borderId="4" xfId="1" applyNumberFormat="1" applyFont="1" applyBorder="1" applyAlignment="1">
      <alignment vertical="top" wrapText="1"/>
    </xf>
    <xf numFmtId="49" fontId="4" fillId="4" borderId="12" xfId="1" applyNumberFormat="1" applyFont="1" applyFill="1" applyBorder="1" applyAlignment="1">
      <alignment vertical="top" wrapText="1"/>
    </xf>
    <xf numFmtId="49" fontId="4" fillId="0" borderId="20" xfId="1" applyNumberFormat="1" applyFont="1" applyBorder="1" applyAlignment="1">
      <alignment vertical="top" wrapText="1"/>
    </xf>
    <xf numFmtId="49" fontId="4" fillId="4" borderId="15" xfId="1" applyNumberFormat="1" applyFont="1" applyFill="1" applyBorder="1" applyAlignment="1">
      <alignment vertical="top" wrapText="1"/>
    </xf>
    <xf numFmtId="49" fontId="4" fillId="7" borderId="17" xfId="1" applyNumberFormat="1" applyFont="1" applyFill="1" applyBorder="1" applyAlignment="1">
      <alignment vertical="top" wrapText="1"/>
    </xf>
    <xf numFmtId="49" fontId="9" fillId="0" borderId="2" xfId="1" applyNumberFormat="1" applyFont="1" applyBorder="1" applyAlignment="1">
      <alignment vertical="top" wrapText="1"/>
    </xf>
    <xf numFmtId="49" fontId="5" fillId="0" borderId="15" xfId="1" applyNumberFormat="1" applyFont="1" applyBorder="1" applyAlignment="1">
      <alignment horizontal="center" vertical="center" wrapText="1"/>
    </xf>
    <xf numFmtId="49" fontId="4" fillId="0" borderId="15" xfId="1" applyNumberFormat="1" applyFont="1" applyBorder="1" applyAlignment="1">
      <alignment horizontal="center" vertical="top" wrapText="1"/>
    </xf>
    <xf numFmtId="49" fontId="5" fillId="0" borderId="15" xfId="1" applyNumberFormat="1" applyFont="1" applyBorder="1" applyAlignment="1">
      <alignment vertical="top" wrapText="1"/>
    </xf>
    <xf numFmtId="49" fontId="10" fillId="0" borderId="10" xfId="1" applyNumberFormat="1" applyFont="1" applyBorder="1" applyAlignment="1">
      <alignment vertical="top" wrapText="1"/>
    </xf>
    <xf numFmtId="1" fontId="5" fillId="0" borderId="25" xfId="1" applyNumberFormat="1" applyFont="1" applyBorder="1" applyAlignment="1">
      <alignment horizontal="center" vertical="center" wrapText="1"/>
    </xf>
    <xf numFmtId="9" fontId="5" fillId="0" borderId="25" xfId="3" applyFont="1" applyBorder="1" applyAlignment="1">
      <alignment horizontal="center" wrapText="1"/>
    </xf>
    <xf numFmtId="49" fontId="5" fillId="40" borderId="5" xfId="1" applyNumberFormat="1" applyFont="1" applyFill="1" applyBorder="1" applyAlignment="1">
      <alignment horizontal="center" vertical="top" wrapText="1"/>
    </xf>
    <xf numFmtId="49" fontId="12" fillId="40" borderId="5" xfId="1" applyNumberFormat="1" applyFill="1" applyBorder="1"/>
    <xf numFmtId="49" fontId="12" fillId="40" borderId="2" xfId="1" applyNumberFormat="1" applyFill="1" applyBorder="1"/>
    <xf numFmtId="0" fontId="12" fillId="0" borderId="0" xfId="1"/>
    <xf numFmtId="168" fontId="31" fillId="30" borderId="26" xfId="0" applyNumberFormat="1" applyFont="1" applyFill="1" applyBorder="1"/>
    <xf numFmtId="170" fontId="0" fillId="0" borderId="0" xfId="0" applyNumberFormat="1"/>
    <xf numFmtId="0" fontId="1" fillId="37" borderId="0" xfId="9" applyFont="1"/>
    <xf numFmtId="167" fontId="1" fillId="37" borderId="0" xfId="9" applyNumberFormat="1" applyFont="1"/>
    <xf numFmtId="0" fontId="1" fillId="36" borderId="0" xfId="8" applyFont="1"/>
    <xf numFmtId="167" fontId="1" fillId="36" borderId="0" xfId="8" applyNumberFormat="1" applyFont="1"/>
    <xf numFmtId="0" fontId="1" fillId="35" borderId="0" xfId="7" applyFont="1" applyAlignment="1">
      <alignment wrapText="1"/>
    </xf>
    <xf numFmtId="167" fontId="1" fillId="35" borderId="0" xfId="7" applyNumberFormat="1" applyFont="1"/>
    <xf numFmtId="0" fontId="1" fillId="34" borderId="0" xfId="6" applyFont="1"/>
    <xf numFmtId="167" fontId="1" fillId="34" borderId="0" xfId="6" applyNumberFormat="1" applyFont="1"/>
    <xf numFmtId="0" fontId="1" fillId="39" borderId="0" xfId="11" applyFont="1" applyAlignment="1">
      <alignment wrapText="1"/>
    </xf>
    <xf numFmtId="167" fontId="1" fillId="39" borderId="0" xfId="11" applyNumberFormat="1" applyFont="1"/>
    <xf numFmtId="0" fontId="1" fillId="38" borderId="0" xfId="10" applyFont="1"/>
    <xf numFmtId="167" fontId="1" fillId="38" borderId="0" xfId="10" applyNumberFormat="1" applyFont="1"/>
    <xf numFmtId="0" fontId="24" fillId="0" borderId="0" xfId="0" applyFont="1" applyAlignment="1">
      <alignment horizontal="left" wrapText="1"/>
    </xf>
    <xf numFmtId="0" fontId="0" fillId="0" borderId="0" xfId="0" applyAlignment="1">
      <alignment horizontal="left" wrapText="1"/>
    </xf>
    <xf numFmtId="0" fontId="29" fillId="0" borderId="0" xfId="0" applyFont="1" applyAlignment="1">
      <alignment horizontal="left" wrapText="1"/>
    </xf>
    <xf numFmtId="49" fontId="4" fillId="0" borderId="8" xfId="1" applyNumberFormat="1" applyFont="1" applyBorder="1" applyAlignment="1">
      <alignment vertical="top" wrapText="1"/>
    </xf>
    <xf numFmtId="49" fontId="4" fillId="0" borderId="15" xfId="1" applyNumberFormat="1" applyFont="1" applyBorder="1" applyAlignment="1">
      <alignment vertical="top" wrapText="1"/>
    </xf>
    <xf numFmtId="49" fontId="4" fillId="0" borderId="9" xfId="1" applyNumberFormat="1" applyFont="1" applyBorder="1" applyAlignment="1">
      <alignment vertical="top" wrapText="1"/>
    </xf>
    <xf numFmtId="49" fontId="5" fillId="0" borderId="4" xfId="1" applyNumberFormat="1" applyFont="1" applyBorder="1" applyAlignment="1">
      <alignment horizontal="left" vertical="top" wrapText="1"/>
    </xf>
    <xf numFmtId="49" fontId="5" fillId="0" borderId="5" xfId="1" applyNumberFormat="1" applyFont="1" applyBorder="1" applyAlignment="1">
      <alignment horizontal="left" vertical="top" wrapText="1"/>
    </xf>
    <xf numFmtId="0" fontId="5" fillId="0" borderId="22" xfId="1" quotePrefix="1" applyFont="1" applyBorder="1" applyAlignment="1">
      <alignment horizontal="left" vertical="top" wrapText="1"/>
    </xf>
    <xf numFmtId="0" fontId="5" fillId="0" borderId="23" xfId="1" quotePrefix="1" applyFont="1" applyBorder="1" applyAlignment="1">
      <alignment horizontal="left" vertical="top" wrapText="1"/>
    </xf>
    <xf numFmtId="0" fontId="5" fillId="0" borderId="24" xfId="1" quotePrefix="1" applyFont="1" applyBorder="1" applyAlignment="1">
      <alignment horizontal="left" vertical="top" wrapText="1"/>
    </xf>
    <xf numFmtId="49" fontId="4" fillId="4" borderId="8" xfId="1" applyNumberFormat="1" applyFont="1" applyFill="1" applyBorder="1" applyAlignment="1">
      <alignment horizontal="center" vertical="top" wrapText="1"/>
    </xf>
    <xf numFmtId="49" fontId="4" fillId="4" borderId="15" xfId="1" applyNumberFormat="1" applyFont="1" applyFill="1" applyBorder="1" applyAlignment="1">
      <alignment horizontal="center" vertical="top" wrapText="1"/>
    </xf>
    <xf numFmtId="49" fontId="14" fillId="0" borderId="13" xfId="2" applyNumberFormat="1" applyBorder="1" applyAlignment="1">
      <alignment horizontal="center" vertical="top" wrapText="1"/>
    </xf>
    <xf numFmtId="49" fontId="14" fillId="0" borderId="14" xfId="2" applyNumberFormat="1" applyBorder="1" applyAlignment="1">
      <alignment horizontal="center" vertical="top" wrapText="1"/>
    </xf>
    <xf numFmtId="49" fontId="5" fillId="5" borderId="14" xfId="1" applyNumberFormat="1" applyFont="1" applyFill="1" applyBorder="1" applyAlignment="1">
      <alignment horizontal="left" vertical="top" wrapText="1"/>
    </xf>
    <xf numFmtId="49" fontId="5" fillId="5" borderId="0" xfId="1" applyNumberFormat="1" applyFont="1" applyFill="1" applyAlignment="1">
      <alignment horizontal="left" vertical="top" wrapText="1"/>
    </xf>
    <xf numFmtId="49" fontId="5" fillId="5" borderId="10" xfId="1" applyNumberFormat="1" applyFont="1" applyFill="1" applyBorder="1" applyAlignment="1">
      <alignment horizontal="left" vertical="top" wrapText="1"/>
    </xf>
    <xf numFmtId="49" fontId="5" fillId="0" borderId="2" xfId="1" applyNumberFormat="1" applyFont="1" applyBorder="1" applyAlignment="1">
      <alignment horizontal="left" vertical="top" wrapText="1"/>
    </xf>
    <xf numFmtId="49" fontId="17" fillId="0" borderId="4" xfId="1" applyNumberFormat="1" applyFont="1" applyBorder="1" applyAlignment="1">
      <alignment horizontal="left" vertical="top" wrapText="1"/>
    </xf>
    <xf numFmtId="49" fontId="4" fillId="4" borderId="21" xfId="1" applyNumberFormat="1" applyFont="1" applyFill="1" applyBorder="1" applyAlignment="1">
      <alignment horizontal="center" vertical="top" wrapText="1"/>
    </xf>
    <xf numFmtId="49" fontId="4" fillId="4" borderId="18" xfId="1" applyNumberFormat="1" applyFont="1" applyFill="1" applyBorder="1" applyAlignment="1">
      <alignment horizontal="center" vertical="top" wrapText="1"/>
    </xf>
    <xf numFmtId="49" fontId="4" fillId="4" borderId="19" xfId="1" applyNumberFormat="1" applyFont="1" applyFill="1" applyBorder="1" applyAlignment="1">
      <alignment horizontal="center" vertical="top" wrapText="1"/>
    </xf>
    <xf numFmtId="49" fontId="5" fillId="0" borderId="8" xfId="1" applyNumberFormat="1" applyFont="1" applyBorder="1" applyAlignment="1">
      <alignment horizontal="center" vertical="top" wrapText="1"/>
    </xf>
    <xf numFmtId="49" fontId="5" fillId="0" borderId="15" xfId="1" applyNumberFormat="1" applyFont="1" applyBorder="1" applyAlignment="1">
      <alignment horizontal="center" vertical="top" wrapText="1"/>
    </xf>
    <xf numFmtId="49" fontId="5" fillId="0" borderId="9" xfId="1" applyNumberFormat="1" applyFont="1" applyBorder="1" applyAlignment="1">
      <alignment horizontal="center" vertical="top" wrapText="1"/>
    </xf>
    <xf numFmtId="49" fontId="5" fillId="5" borderId="4" xfId="1" applyNumberFormat="1" applyFont="1" applyFill="1" applyBorder="1" applyAlignment="1">
      <alignment horizontal="left" vertical="top" wrapText="1"/>
    </xf>
    <xf numFmtId="49" fontId="5" fillId="5" borderId="5" xfId="1" applyNumberFormat="1" applyFont="1" applyFill="1" applyBorder="1" applyAlignment="1">
      <alignment horizontal="left" vertical="top" wrapText="1"/>
    </xf>
    <xf numFmtId="49" fontId="5" fillId="5" borderId="2" xfId="1" applyNumberFormat="1" applyFont="1" applyFill="1" applyBorder="1" applyAlignment="1">
      <alignment horizontal="left" vertical="top" wrapText="1"/>
    </xf>
    <xf numFmtId="49" fontId="4" fillId="4" borderId="9" xfId="1" applyNumberFormat="1" applyFont="1" applyFill="1" applyBorder="1" applyAlignment="1">
      <alignment horizontal="center" vertical="top" wrapText="1"/>
    </xf>
    <xf numFmtId="0" fontId="7" fillId="0" borderId="4" xfId="1" applyFont="1" applyBorder="1" applyAlignment="1">
      <alignment horizontal="center" vertical="top" wrapText="1"/>
    </xf>
    <xf numFmtId="0" fontId="12" fillId="0" borderId="5" xfId="1" applyBorder="1" applyAlignment="1">
      <alignment horizontal="center" vertical="top" wrapText="1"/>
    </xf>
    <xf numFmtId="49" fontId="5" fillId="10" borderId="12" xfId="1" applyNumberFormat="1" applyFont="1" applyFill="1" applyBorder="1" applyAlignment="1">
      <alignment horizontal="left" vertical="top" wrapText="1"/>
    </xf>
    <xf numFmtId="49" fontId="5" fillId="10" borderId="11" xfId="1" applyNumberFormat="1" applyFont="1" applyFill="1" applyBorder="1" applyAlignment="1">
      <alignment horizontal="left" vertical="top" wrapText="1"/>
    </xf>
    <xf numFmtId="49" fontId="5" fillId="10" borderId="3" xfId="1" applyNumberFormat="1" applyFont="1" applyFill="1" applyBorder="1" applyAlignment="1">
      <alignment horizontal="left" vertical="top" wrapText="1"/>
    </xf>
    <xf numFmtId="49" fontId="5" fillId="10" borderId="4" xfId="1" applyNumberFormat="1" applyFont="1" applyFill="1" applyBorder="1" applyAlignment="1">
      <alignment horizontal="left" vertical="top" wrapText="1"/>
    </xf>
    <xf numFmtId="49" fontId="5" fillId="10" borderId="5" xfId="1" applyNumberFormat="1" applyFont="1" applyFill="1" applyBorder="1" applyAlignment="1">
      <alignment horizontal="left" vertical="top" wrapText="1"/>
    </xf>
    <xf numFmtId="49" fontId="5" fillId="10" borderId="2" xfId="1" applyNumberFormat="1" applyFont="1" applyFill="1" applyBorder="1" applyAlignment="1">
      <alignment horizontal="left" vertical="top" wrapText="1"/>
    </xf>
    <xf numFmtId="0" fontId="8" fillId="0" borderId="7" xfId="0" applyFont="1" applyBorder="1" applyAlignment="1">
      <alignment horizontal="center" vertical="top" wrapText="1"/>
    </xf>
    <xf numFmtId="0" fontId="8" fillId="0" borderId="10" xfId="0" applyFont="1" applyBorder="1" applyAlignment="1">
      <alignment horizontal="center" vertical="top" wrapText="1"/>
    </xf>
    <xf numFmtId="0" fontId="8" fillId="0" borderId="3" xfId="0" applyFont="1" applyBorder="1" applyAlignment="1">
      <alignment horizontal="center" vertical="top" wrapText="1"/>
    </xf>
    <xf numFmtId="49" fontId="9" fillId="0" borderId="8" xfId="1" applyNumberFormat="1" applyFont="1" applyBorder="1" applyAlignment="1">
      <alignment horizontal="center" vertical="top" wrapText="1"/>
    </xf>
    <xf numFmtId="49" fontId="9" fillId="0" borderId="15" xfId="1" applyNumberFormat="1" applyFont="1" applyBorder="1" applyAlignment="1">
      <alignment horizontal="center" vertical="top" wrapText="1"/>
    </xf>
    <xf numFmtId="49" fontId="9" fillId="0" borderId="9" xfId="1" applyNumberFormat="1" applyFont="1" applyBorder="1" applyAlignment="1">
      <alignment horizontal="center" vertical="top" wrapText="1"/>
    </xf>
    <xf numFmtId="0" fontId="8" fillId="0" borderId="8" xfId="0" applyFont="1" applyBorder="1" applyAlignment="1">
      <alignment horizontal="center" vertical="top" wrapText="1"/>
    </xf>
    <xf numFmtId="0" fontId="8" fillId="0" borderId="15" xfId="0" applyFont="1" applyBorder="1" applyAlignment="1">
      <alignment horizontal="center" vertical="top" wrapText="1"/>
    </xf>
    <xf numFmtId="0" fontId="8" fillId="0" borderId="9" xfId="0" applyFont="1" applyBorder="1" applyAlignment="1">
      <alignment horizontal="center" vertical="top" wrapText="1"/>
    </xf>
    <xf numFmtId="49" fontId="4" fillId="8" borderId="7" xfId="1" applyNumberFormat="1" applyFont="1" applyFill="1" applyBorder="1" applyAlignment="1">
      <alignment horizontal="left" vertical="top" wrapText="1"/>
    </xf>
    <xf numFmtId="49" fontId="4" fillId="8" borderId="3" xfId="1" applyNumberFormat="1" applyFont="1" applyFill="1" applyBorder="1" applyAlignment="1">
      <alignment horizontal="left" vertical="top" wrapText="1"/>
    </xf>
    <xf numFmtId="49" fontId="5" fillId="0" borderId="8" xfId="1" applyNumberFormat="1" applyFont="1" applyBorder="1" applyAlignment="1">
      <alignment horizontal="left" vertical="top" wrapText="1"/>
    </xf>
    <xf numFmtId="49" fontId="5" fillId="0" borderId="9" xfId="1" applyNumberFormat="1" applyFont="1" applyBorder="1" applyAlignment="1">
      <alignment horizontal="left" vertical="top" wrapText="1"/>
    </xf>
    <xf numFmtId="49" fontId="4" fillId="9" borderId="13" xfId="1" applyNumberFormat="1" applyFont="1" applyFill="1" applyBorder="1" applyAlignment="1">
      <alignment horizontal="center" vertical="top" wrapText="1"/>
    </xf>
    <xf numFmtId="49" fontId="4" fillId="9" borderId="14" xfId="1" applyNumberFormat="1" applyFont="1" applyFill="1" applyBorder="1" applyAlignment="1">
      <alignment horizontal="center" vertical="top" wrapText="1"/>
    </xf>
    <xf numFmtId="49" fontId="4" fillId="9" borderId="12" xfId="1" applyNumberFormat="1" applyFont="1" applyFill="1" applyBorder="1" applyAlignment="1">
      <alignment horizontal="center" vertical="top" wrapText="1"/>
    </xf>
    <xf numFmtId="49" fontId="4" fillId="9" borderId="7" xfId="1" applyNumberFormat="1" applyFont="1" applyFill="1" applyBorder="1" applyAlignment="1">
      <alignment horizontal="center" vertical="top" wrapText="1"/>
    </xf>
    <xf numFmtId="49" fontId="4" fillId="9" borderId="10" xfId="1" applyNumberFormat="1" applyFont="1" applyFill="1" applyBorder="1" applyAlignment="1">
      <alignment horizontal="center" vertical="top" wrapText="1"/>
    </xf>
    <xf numFmtId="49" fontId="4" fillId="9" borderId="3" xfId="1" applyNumberFormat="1" applyFont="1" applyFill="1" applyBorder="1" applyAlignment="1">
      <alignment horizontal="center" vertical="top" wrapText="1"/>
    </xf>
    <xf numFmtId="49" fontId="16" fillId="0" borderId="4" xfId="1" applyNumberFormat="1" applyFont="1" applyBorder="1" applyAlignment="1">
      <alignment horizontal="left" vertical="top" wrapText="1"/>
    </xf>
    <xf numFmtId="49" fontId="16" fillId="0" borderId="5" xfId="1" applyNumberFormat="1" applyFont="1" applyBorder="1" applyAlignment="1">
      <alignment horizontal="left" vertical="top" wrapText="1"/>
    </xf>
    <xf numFmtId="49" fontId="16" fillId="0" borderId="2" xfId="1" applyNumberFormat="1" applyFont="1" applyBorder="1" applyAlignment="1">
      <alignment horizontal="left" vertical="top" wrapText="1"/>
    </xf>
    <xf numFmtId="49" fontId="4" fillId="4" borderId="10" xfId="1" applyNumberFormat="1" applyFont="1" applyFill="1" applyBorder="1" applyAlignment="1">
      <alignment horizontal="center" vertical="top" wrapText="1"/>
    </xf>
  </cellXfs>
  <cellStyles count="12">
    <cellStyle name="20% - Accent1" xfId="6" builtinId="30"/>
    <cellStyle name="20% - Accent2" xfId="8" builtinId="34"/>
    <cellStyle name="20% - Accent3" xfId="10" builtinId="38"/>
    <cellStyle name="60% - Accent1" xfId="7" builtinId="32"/>
    <cellStyle name="60% - Accent2" xfId="9" builtinId="36"/>
    <cellStyle name="60% - Accent3" xfId="11" builtinId="40"/>
    <cellStyle name="Hyperlink" xfId="2" builtinId="8"/>
    <cellStyle name="Hyperlink 2" xfId="4" xr:uid="{447CE521-A0DE-4709-BBE0-FADA6F239AF1}"/>
    <cellStyle name="Normal" xfId="0" builtinId="0"/>
    <cellStyle name="Normal 2" xfId="1" xr:uid="{EA754012-680F-4A1D-9FCD-2CCCDAAD37E8}"/>
    <cellStyle name="Normal 3" xfId="5" xr:uid="{FF42A1F1-36D3-4D0C-A454-B193BFFE0C94}"/>
    <cellStyle name="Percent" xfId="3" builtinId="5"/>
  </cellStyles>
  <dxfs count="86">
    <dxf>
      <font>
        <b/>
        <i val="0"/>
        <strike val="0"/>
        <condense val="0"/>
        <extend val="0"/>
        <outline val="0"/>
        <shadow val="0"/>
        <u val="none"/>
        <vertAlign val="baseline"/>
        <sz val="10"/>
        <color auto="1"/>
        <name val="Arial"/>
        <scheme val="none"/>
      </font>
      <numFmt numFmtId="167" formatCode="_-* #,##0_-;\-* #,##0_-;_-* &quot;-&quot;??_-;_-@_-"/>
      <fill>
        <patternFill patternType="solid">
          <fgColor indexed="64"/>
          <bgColor theme="9" tint="0.79998168889431442"/>
        </patternFill>
      </fill>
    </dxf>
    <dxf>
      <numFmt numFmtId="167" formatCode="_-* #,##0_-;\-* #,##0_-;_-* &quot;-&quot;??_-;_-@_-"/>
      <fill>
        <patternFill patternType="solid">
          <fgColor indexed="64"/>
          <bgColor theme="9" tint="0.79998168889431442"/>
        </patternFill>
      </fill>
    </dxf>
    <dxf>
      <font>
        <b/>
        <i val="0"/>
        <strike val="0"/>
        <condense val="0"/>
        <extend val="0"/>
        <outline val="0"/>
        <shadow val="0"/>
        <u val="none"/>
        <vertAlign val="baseline"/>
        <sz val="10"/>
        <color auto="1"/>
        <name val="Arial"/>
        <scheme val="none"/>
      </font>
      <numFmt numFmtId="167" formatCode="_-* #,##0_-;\-* #,##0_-;_-* &quot;-&quot;??_-;_-@_-"/>
      <fill>
        <patternFill patternType="solid">
          <fgColor indexed="64"/>
          <bgColor theme="9" tint="0.59999389629810485"/>
        </patternFill>
      </fill>
    </dxf>
    <dxf>
      <numFmt numFmtId="167" formatCode="_-* #,##0_-;\-* #,##0_-;_-* &quot;-&quot;??_-;_-@_-"/>
      <fill>
        <patternFill patternType="solid">
          <fgColor indexed="64"/>
          <bgColor theme="9" tint="0.59999389629810485"/>
        </patternFill>
      </fill>
    </dxf>
    <dxf>
      <font>
        <b/>
        <i val="0"/>
        <strike val="0"/>
        <condense val="0"/>
        <extend val="0"/>
        <outline val="0"/>
        <shadow val="0"/>
        <u val="none"/>
        <vertAlign val="baseline"/>
        <sz val="10"/>
        <color auto="1"/>
        <name val="Arial"/>
        <scheme val="none"/>
      </font>
      <numFmt numFmtId="167" formatCode="_-* #,##0_-;\-* #,##0_-;_-* &quot;-&quot;??_-;_-@_-"/>
      <fill>
        <patternFill patternType="solid">
          <fgColor indexed="64"/>
          <bgColor theme="8" tint="0.79998168889431442"/>
        </patternFill>
      </fill>
    </dxf>
    <dxf>
      <numFmt numFmtId="167" formatCode="_-* #,##0_-;\-* #,##0_-;_-* &quot;-&quot;??_-;_-@_-"/>
      <fill>
        <patternFill patternType="solid">
          <fgColor indexed="64"/>
          <bgColor theme="8" tint="0.79998168889431442"/>
        </patternFill>
      </fill>
    </dxf>
    <dxf>
      <font>
        <b/>
        <i val="0"/>
        <strike val="0"/>
        <condense val="0"/>
        <extend val="0"/>
        <outline val="0"/>
        <shadow val="0"/>
        <u val="none"/>
        <vertAlign val="baseline"/>
        <sz val="10"/>
        <color auto="1"/>
        <name val="Arial"/>
        <scheme val="none"/>
      </font>
      <numFmt numFmtId="167" formatCode="_-* #,##0_-;\-* #,##0_-;_-* &quot;-&quot;??_-;_-@_-"/>
      <fill>
        <patternFill patternType="solid">
          <fgColor indexed="64"/>
          <bgColor theme="8" tint="0.79998168889431442"/>
        </patternFill>
      </fill>
    </dxf>
    <dxf>
      <numFmt numFmtId="167" formatCode="_-* #,##0_-;\-* #,##0_-;_-* &quot;-&quot;??_-;_-@_-"/>
      <fill>
        <patternFill patternType="solid">
          <fgColor indexed="64"/>
          <bgColor theme="8" tint="0.79998168889431442"/>
        </patternFill>
      </fill>
    </dxf>
    <dxf>
      <font>
        <b/>
        <i val="0"/>
        <strike val="0"/>
        <condense val="0"/>
        <extend val="0"/>
        <outline val="0"/>
        <shadow val="0"/>
        <u val="none"/>
        <vertAlign val="baseline"/>
        <sz val="10"/>
        <color auto="1"/>
        <name val="Arial"/>
        <scheme val="none"/>
      </font>
      <numFmt numFmtId="167" formatCode="_-* #,##0_-;\-* #,##0_-;_-* &quot;-&quot;??_-;_-@_-"/>
      <fill>
        <patternFill patternType="solid">
          <fgColor indexed="64"/>
          <bgColor theme="8" tint="0.79998168889431442"/>
        </patternFill>
      </fill>
    </dxf>
    <dxf>
      <numFmt numFmtId="167" formatCode="_-* #,##0_-;\-* #,##0_-;_-* &quot;-&quot;??_-;_-@_-"/>
      <fill>
        <patternFill patternType="solid">
          <fgColor indexed="64"/>
          <bgColor theme="8" tint="0.79998168889431442"/>
        </patternFill>
      </fill>
    </dxf>
    <dxf>
      <font>
        <b/>
        <i val="0"/>
        <strike val="0"/>
        <condense val="0"/>
        <extend val="0"/>
        <outline val="0"/>
        <shadow val="0"/>
        <u val="none"/>
        <vertAlign val="baseline"/>
        <sz val="10"/>
        <color auto="1"/>
        <name val="Arial"/>
        <scheme val="none"/>
      </font>
      <numFmt numFmtId="167" formatCode="_-* #,##0_-;\-* #,##0_-;_-* &quot;-&quot;??_-;_-@_-"/>
      <fill>
        <patternFill patternType="solid">
          <fgColor indexed="64"/>
          <bgColor theme="8" tint="0.79998168889431442"/>
        </patternFill>
      </fill>
    </dxf>
    <dxf>
      <numFmt numFmtId="167" formatCode="_-* #,##0_-;\-* #,##0_-;_-* &quot;-&quot;??_-;_-@_-"/>
      <fill>
        <patternFill patternType="solid">
          <fgColor indexed="64"/>
          <bgColor theme="8" tint="0.79998168889431442"/>
        </patternFill>
      </fill>
    </dxf>
    <dxf>
      <font>
        <b/>
        <i val="0"/>
        <strike val="0"/>
        <condense val="0"/>
        <extend val="0"/>
        <outline val="0"/>
        <shadow val="0"/>
        <u val="none"/>
        <vertAlign val="baseline"/>
        <sz val="10"/>
        <color auto="1"/>
        <name val="Arial"/>
        <scheme val="none"/>
      </font>
      <numFmt numFmtId="167" formatCode="_-* #,##0_-;\-* #,##0_-;_-* &quot;-&quot;??_-;_-@_-"/>
      <fill>
        <patternFill patternType="solid">
          <fgColor indexed="64"/>
          <bgColor theme="8" tint="0.79998168889431442"/>
        </patternFill>
      </fill>
    </dxf>
    <dxf>
      <numFmt numFmtId="167" formatCode="_-* #,##0_-;\-* #,##0_-;_-* &quot;-&quot;??_-;_-@_-"/>
      <fill>
        <patternFill patternType="solid">
          <fgColor indexed="64"/>
          <bgColor theme="8" tint="0.79998168889431442"/>
        </patternFill>
      </fill>
    </dxf>
    <dxf>
      <font>
        <b/>
        <i val="0"/>
        <strike val="0"/>
        <condense val="0"/>
        <extend val="0"/>
        <outline val="0"/>
        <shadow val="0"/>
        <u val="none"/>
        <vertAlign val="baseline"/>
        <sz val="10"/>
        <color auto="1"/>
        <name val="Arial"/>
        <scheme val="none"/>
      </font>
      <numFmt numFmtId="167" formatCode="_-* #,##0_-;\-* #,##0_-;_-* &quot;-&quot;??_-;_-@_-"/>
      <fill>
        <patternFill patternType="solid">
          <fgColor indexed="64"/>
          <bgColor theme="8" tint="0.59999389629810485"/>
        </patternFill>
      </fill>
    </dxf>
    <dxf>
      <numFmt numFmtId="167" formatCode="_-* #,##0_-;\-* #,##0_-;_-* &quot;-&quot;??_-;_-@_-"/>
      <fill>
        <patternFill patternType="solid">
          <fgColor indexed="64"/>
          <bgColor theme="8" tint="0.59999389629810485"/>
        </patternFill>
      </fill>
    </dxf>
    <dxf>
      <font>
        <b/>
        <i val="0"/>
        <strike val="0"/>
        <condense val="0"/>
        <extend val="0"/>
        <outline val="0"/>
        <shadow val="0"/>
        <u val="none"/>
        <vertAlign val="baseline"/>
        <sz val="10"/>
        <color auto="1"/>
        <name val="Arial"/>
        <scheme val="none"/>
      </font>
      <numFmt numFmtId="167" formatCode="_-* #,##0_-;\-* #,##0_-;_-* &quot;-&quot;??_-;_-@_-"/>
      <fill>
        <patternFill patternType="solid">
          <fgColor indexed="64"/>
          <bgColor theme="8" tint="0.59999389629810485"/>
        </patternFill>
      </fill>
    </dxf>
    <dxf>
      <numFmt numFmtId="167" formatCode="_-* #,##0_-;\-* #,##0_-;_-* &quot;-&quot;??_-;_-@_-"/>
      <fill>
        <patternFill patternType="solid">
          <fgColor indexed="64"/>
          <bgColor theme="8" tint="0.59999389629810485"/>
        </patternFill>
      </fill>
    </dxf>
    <dxf>
      <font>
        <b/>
        <i val="0"/>
        <strike val="0"/>
        <condense val="0"/>
        <extend val="0"/>
        <outline val="0"/>
        <shadow val="0"/>
        <u val="none"/>
        <vertAlign val="baseline"/>
        <sz val="10"/>
        <color auto="1"/>
        <name val="Arial"/>
        <scheme val="none"/>
      </font>
      <numFmt numFmtId="167" formatCode="_-* #,##0_-;\-* #,##0_-;_-* &quot;-&quot;??_-;_-@_-"/>
      <fill>
        <patternFill patternType="solid">
          <fgColor indexed="64"/>
          <bgColor theme="8" tint="0.59999389629810485"/>
        </patternFill>
      </fill>
    </dxf>
    <dxf>
      <numFmt numFmtId="167" formatCode="_-* #,##0_-;\-* #,##0_-;_-* &quot;-&quot;??_-;_-@_-"/>
      <fill>
        <patternFill patternType="solid">
          <fgColor indexed="64"/>
          <bgColor theme="8" tint="0.59999389629810485"/>
        </patternFill>
      </fill>
    </dxf>
    <dxf>
      <font>
        <b/>
        <i val="0"/>
        <strike val="0"/>
        <condense val="0"/>
        <extend val="0"/>
        <outline val="0"/>
        <shadow val="0"/>
        <u val="none"/>
        <vertAlign val="baseline"/>
        <sz val="10"/>
        <color auto="1"/>
        <name val="Arial"/>
        <scheme val="none"/>
      </font>
      <numFmt numFmtId="167" formatCode="_-* #,##0_-;\-* #,##0_-;_-* &quot;-&quot;??_-;_-@_-"/>
      <fill>
        <patternFill patternType="solid">
          <fgColor indexed="64"/>
          <bgColor theme="2" tint="-0.249977111117893"/>
        </patternFill>
      </fill>
    </dxf>
    <dxf>
      <numFmt numFmtId="167" formatCode="_-* #,##0_-;\-* #,##0_-;_-* &quot;-&quot;??_-;_-@_-"/>
      <fill>
        <patternFill patternType="solid">
          <fgColor indexed="64"/>
          <bgColor theme="2" tint="-0.249977111117893"/>
        </patternFill>
      </fill>
    </dxf>
    <dxf>
      <font>
        <b/>
        <i val="0"/>
        <strike val="0"/>
        <condense val="0"/>
        <extend val="0"/>
        <outline val="0"/>
        <shadow val="0"/>
        <u val="none"/>
        <vertAlign val="baseline"/>
        <sz val="10"/>
        <color auto="1"/>
        <name val="Arial"/>
        <scheme val="none"/>
      </font>
      <numFmt numFmtId="167" formatCode="_-* #,##0_-;\-* #,##0_-;_-* &quot;-&quot;??_-;_-@_-"/>
      <fill>
        <patternFill patternType="solid">
          <fgColor indexed="64"/>
          <bgColor theme="7" tint="0.79998168889431442"/>
        </patternFill>
      </fill>
    </dxf>
    <dxf>
      <numFmt numFmtId="167" formatCode="_-* #,##0_-;\-* #,##0_-;_-* &quot;-&quot;??_-;_-@_-"/>
      <fill>
        <patternFill patternType="solid">
          <fgColor indexed="64"/>
          <bgColor theme="7" tint="0.79998168889431442"/>
        </patternFill>
      </fill>
    </dxf>
    <dxf>
      <font>
        <b/>
        <i val="0"/>
        <strike val="0"/>
        <condense val="0"/>
        <extend val="0"/>
        <outline val="0"/>
        <shadow val="0"/>
        <u val="none"/>
        <vertAlign val="baseline"/>
        <sz val="10"/>
        <color auto="1"/>
        <name val="Arial"/>
        <scheme val="none"/>
      </font>
      <numFmt numFmtId="167" formatCode="_-* #,##0_-;\-* #,##0_-;_-* &quot;-&quot;??_-;_-@_-"/>
      <fill>
        <patternFill patternType="solid">
          <fgColor indexed="64"/>
          <bgColor theme="7" tint="0.79998168889431442"/>
        </patternFill>
      </fill>
    </dxf>
    <dxf>
      <numFmt numFmtId="167" formatCode="_-* #,##0_-;\-* #,##0_-;_-* &quot;-&quot;??_-;_-@_-"/>
      <fill>
        <patternFill patternType="solid">
          <fgColor indexed="64"/>
          <bgColor theme="7" tint="0.79998168889431442"/>
        </patternFill>
      </fill>
    </dxf>
    <dxf>
      <font>
        <b/>
        <i val="0"/>
        <strike val="0"/>
        <condense val="0"/>
        <extend val="0"/>
        <outline val="0"/>
        <shadow val="0"/>
        <u val="none"/>
        <vertAlign val="baseline"/>
        <sz val="10"/>
        <color auto="1"/>
        <name val="Arial"/>
        <scheme val="none"/>
      </font>
      <numFmt numFmtId="167" formatCode="_-* #,##0_-;\-* #,##0_-;_-* &quot;-&quot;??_-;_-@_-"/>
      <fill>
        <patternFill patternType="solid">
          <fgColor indexed="64"/>
          <bgColor theme="7" tint="0.79998168889431442"/>
        </patternFill>
      </fill>
      <alignment horizontal="general" vertical="bottom" textRotation="0" wrapText="1" indent="0" justifyLastLine="0" shrinkToFit="0" readingOrder="0"/>
    </dxf>
    <dxf>
      <numFmt numFmtId="167" formatCode="_-* #,##0_-;\-* #,##0_-;_-* &quot;-&quot;??_-;_-@_-"/>
      <fill>
        <patternFill patternType="solid">
          <fgColor indexed="64"/>
          <bgColor theme="7" tint="0.79998168889431442"/>
        </patternFill>
      </fill>
      <alignment horizontal="general" vertical="bottom" textRotation="0" wrapText="1" indent="0" justifyLastLine="0" shrinkToFit="0" readingOrder="0"/>
    </dxf>
    <dxf>
      <font>
        <b/>
        <i val="0"/>
        <strike val="0"/>
        <condense val="0"/>
        <extend val="0"/>
        <outline val="0"/>
        <shadow val="0"/>
        <u val="none"/>
        <vertAlign val="baseline"/>
        <sz val="10"/>
        <color auto="1"/>
        <name val="Arial"/>
        <scheme val="none"/>
      </font>
      <numFmt numFmtId="167" formatCode="_-* #,##0_-;\-* #,##0_-;_-* &quot;-&quot;??_-;_-@_-"/>
      <fill>
        <patternFill patternType="solid">
          <fgColor indexed="64"/>
          <bgColor theme="7" tint="0.79998168889431442"/>
        </patternFill>
      </fill>
      <alignment horizontal="general" vertical="bottom" textRotation="0" wrapText="1" indent="0" justifyLastLine="0" shrinkToFit="0" readingOrder="0"/>
    </dxf>
    <dxf>
      <numFmt numFmtId="167" formatCode="_-* #,##0_-;\-* #,##0_-;_-* &quot;-&quot;??_-;_-@_-"/>
      <fill>
        <patternFill patternType="solid">
          <fgColor indexed="64"/>
          <bgColor theme="7" tint="0.79998168889431442"/>
        </patternFill>
      </fill>
      <alignment horizontal="general" vertical="bottom" textRotation="0" wrapText="1" indent="0" justifyLastLine="0" shrinkToFit="0" readingOrder="0"/>
    </dxf>
    <dxf>
      <font>
        <b/>
        <i val="0"/>
        <strike val="0"/>
        <condense val="0"/>
        <extend val="0"/>
        <outline val="0"/>
        <shadow val="0"/>
        <u val="none"/>
        <vertAlign val="baseline"/>
        <sz val="10"/>
        <color auto="1"/>
        <name val="Arial"/>
        <scheme val="none"/>
      </font>
      <numFmt numFmtId="167" formatCode="_-* #,##0_-;\-* #,##0_-;_-* &quot;-&quot;??_-;_-@_-"/>
      <fill>
        <patternFill patternType="solid">
          <fgColor indexed="64"/>
          <bgColor theme="7" tint="0.59999389629810485"/>
        </patternFill>
      </fill>
      <alignment horizontal="general" vertical="bottom" textRotation="0" wrapText="1" indent="0" justifyLastLine="0" shrinkToFit="0" readingOrder="0"/>
    </dxf>
    <dxf>
      <numFmt numFmtId="167" formatCode="_-* #,##0_-;\-* #,##0_-;_-* &quot;-&quot;??_-;_-@_-"/>
      <fill>
        <patternFill patternType="solid">
          <fgColor indexed="64"/>
          <bgColor theme="7" tint="0.59999389629810485"/>
        </patternFill>
      </fill>
      <alignment horizontal="general" vertical="bottom" textRotation="0" wrapText="1" indent="0" justifyLastLine="0" shrinkToFit="0" readingOrder="0"/>
    </dxf>
    <dxf>
      <font>
        <b/>
        <i val="0"/>
        <strike val="0"/>
        <condense val="0"/>
        <extend val="0"/>
        <outline val="0"/>
        <shadow val="0"/>
        <u val="none"/>
        <vertAlign val="baseline"/>
        <sz val="10"/>
        <color auto="1"/>
        <name val="Arial"/>
        <scheme val="none"/>
      </font>
      <numFmt numFmtId="167" formatCode="_-* #,##0_-;\-* #,##0_-;_-* &quot;-&quot;??_-;_-@_-"/>
      <fill>
        <patternFill patternType="solid">
          <fgColor indexed="64"/>
          <bgColor theme="6" tint="0.79998168889431442"/>
        </patternFill>
      </fill>
      <alignment horizontal="general" vertical="bottom" textRotation="0" wrapText="1" indent="0" justifyLastLine="0" shrinkToFit="0" readingOrder="0"/>
    </dxf>
    <dxf>
      <numFmt numFmtId="167" formatCode="_-* #,##0_-;\-* #,##0_-;_-* &quot;-&quot;??_-;_-@_-"/>
      <fill>
        <patternFill patternType="solid">
          <fgColor indexed="64"/>
          <bgColor theme="6" tint="0.79998168889431442"/>
        </patternFill>
      </fill>
      <alignment horizontal="general" vertical="bottom" textRotation="0" wrapText="1" indent="0" justifyLastLine="0" shrinkToFit="0" readingOrder="0"/>
    </dxf>
    <dxf>
      <font>
        <b/>
        <i val="0"/>
        <strike val="0"/>
        <condense val="0"/>
        <extend val="0"/>
        <outline val="0"/>
        <shadow val="0"/>
        <u val="none"/>
        <vertAlign val="baseline"/>
        <sz val="10"/>
        <color auto="1"/>
        <name val="Arial"/>
        <scheme val="none"/>
      </font>
      <numFmt numFmtId="167" formatCode="_-* #,##0_-;\-* #,##0_-;_-* &quot;-&quot;??_-;_-@_-"/>
      <fill>
        <patternFill patternType="solid">
          <fgColor indexed="64"/>
          <bgColor theme="6" tint="0.79998168889431442"/>
        </patternFill>
      </fill>
      <alignment horizontal="general" vertical="bottom" textRotation="0" wrapText="1" indent="0" justifyLastLine="0" shrinkToFit="0" readingOrder="0"/>
    </dxf>
    <dxf>
      <numFmt numFmtId="167" formatCode="_-* #,##0_-;\-* #,##0_-;_-* &quot;-&quot;??_-;_-@_-"/>
      <fill>
        <patternFill patternType="solid">
          <fgColor indexed="64"/>
          <bgColor theme="6" tint="0.79998168889431442"/>
        </patternFill>
      </fill>
      <alignment horizontal="general" vertical="bottom" textRotation="0" wrapText="1" indent="0" justifyLastLine="0" shrinkToFit="0" readingOrder="0"/>
    </dxf>
    <dxf>
      <font>
        <b/>
        <i val="0"/>
        <strike val="0"/>
        <condense val="0"/>
        <extend val="0"/>
        <outline val="0"/>
        <shadow val="0"/>
        <u val="none"/>
        <vertAlign val="baseline"/>
        <sz val="10"/>
        <color auto="1"/>
        <name val="Arial"/>
        <scheme val="none"/>
      </font>
      <numFmt numFmtId="167" formatCode="_-* #,##0_-;\-* #,##0_-;_-* &quot;-&quot;??_-;_-@_-"/>
      <fill>
        <patternFill patternType="solid">
          <fgColor indexed="64"/>
          <bgColor theme="6" tint="0.79998168889431442"/>
        </patternFill>
      </fill>
      <alignment horizontal="general" vertical="bottom" textRotation="0" wrapText="1" indent="0" justifyLastLine="0" shrinkToFit="0" readingOrder="0"/>
    </dxf>
    <dxf>
      <numFmt numFmtId="167" formatCode="_-* #,##0_-;\-* #,##0_-;_-* &quot;-&quot;??_-;_-@_-"/>
      <fill>
        <patternFill patternType="solid">
          <fgColor indexed="64"/>
          <bgColor theme="6" tint="0.79998168889431442"/>
        </patternFill>
      </fill>
      <alignment horizontal="general" vertical="bottom" textRotation="0" wrapText="1" indent="0" justifyLastLine="0" shrinkToFit="0" readingOrder="0"/>
    </dxf>
    <dxf>
      <font>
        <b/>
        <i val="0"/>
        <strike val="0"/>
        <condense val="0"/>
        <extend val="0"/>
        <outline val="0"/>
        <shadow val="0"/>
        <u val="none"/>
        <vertAlign val="baseline"/>
        <sz val="10"/>
        <color auto="1"/>
        <name val="Arial"/>
        <scheme val="none"/>
      </font>
      <numFmt numFmtId="167" formatCode="_-* #,##0_-;\-* #,##0_-;_-* &quot;-&quot;??_-;_-@_-"/>
      <fill>
        <patternFill patternType="solid">
          <fgColor indexed="64"/>
          <bgColor theme="6" tint="0.79998168889431442"/>
        </patternFill>
      </fill>
      <alignment horizontal="general" vertical="bottom" textRotation="0" wrapText="1" indent="0" justifyLastLine="0" shrinkToFit="0" readingOrder="0"/>
    </dxf>
    <dxf>
      <numFmt numFmtId="167" formatCode="_-* #,##0_-;\-* #,##0_-;_-* &quot;-&quot;??_-;_-@_-"/>
      <fill>
        <patternFill patternType="solid">
          <fgColor indexed="64"/>
          <bgColor theme="6" tint="0.79998168889431442"/>
        </patternFill>
      </fill>
      <alignment horizontal="general" vertical="bottom" textRotation="0" wrapText="1" indent="0" justifyLastLine="0" shrinkToFit="0" readingOrder="0"/>
    </dxf>
    <dxf>
      <font>
        <b/>
        <i val="0"/>
        <strike val="0"/>
        <condense val="0"/>
        <extend val="0"/>
        <outline val="0"/>
        <shadow val="0"/>
        <u val="none"/>
        <vertAlign val="baseline"/>
        <sz val="10"/>
        <color auto="1"/>
        <name val="Arial"/>
        <scheme val="none"/>
      </font>
      <numFmt numFmtId="167" formatCode="_-* #,##0_-;\-* #,##0_-;_-* &quot;-&quot;??_-;_-@_-"/>
      <fill>
        <patternFill patternType="solid">
          <fgColor indexed="64"/>
          <bgColor theme="6" tint="0.59999389629810485"/>
        </patternFill>
      </fill>
      <alignment horizontal="general" vertical="bottom" textRotation="0" wrapText="1" indent="0" justifyLastLine="0" shrinkToFit="0" readingOrder="0"/>
    </dxf>
    <dxf>
      <numFmt numFmtId="167" formatCode="_-* #,##0_-;\-* #,##0_-;_-* &quot;-&quot;??_-;_-@_-"/>
      <fill>
        <patternFill patternType="solid">
          <fgColor indexed="64"/>
          <bgColor theme="6" tint="0.59999389629810485"/>
        </patternFill>
      </fill>
      <alignment horizontal="general" vertical="bottom" textRotation="0" wrapText="1" indent="0" justifyLastLine="0" shrinkToFit="0" readingOrder="0"/>
    </dxf>
    <dxf>
      <font>
        <b/>
        <i val="0"/>
        <strike val="0"/>
        <condense val="0"/>
        <extend val="0"/>
        <outline val="0"/>
        <shadow val="0"/>
        <u val="none"/>
        <vertAlign val="baseline"/>
        <sz val="10"/>
        <color auto="1"/>
        <name val="Arial"/>
        <scheme val="none"/>
      </font>
      <numFmt numFmtId="167" formatCode="_-* #,##0_-;\-* #,##0_-;_-* &quot;-&quot;??_-;_-@_-"/>
      <fill>
        <patternFill patternType="solid">
          <fgColor indexed="64"/>
          <bgColor theme="5" tint="0.79998168889431442"/>
        </patternFill>
      </fill>
      <alignment horizontal="general" vertical="bottom" textRotation="0" wrapText="1" indent="0" justifyLastLine="0" shrinkToFit="0" readingOrder="0"/>
    </dxf>
    <dxf>
      <numFmt numFmtId="167" formatCode="_-* #,##0_-;\-* #,##0_-;_-* &quot;-&quot;??_-;_-@_-"/>
      <fill>
        <patternFill patternType="solid">
          <fgColor indexed="64"/>
          <bgColor theme="5" tint="0.79998168889431442"/>
        </patternFill>
      </fill>
      <alignment horizontal="general" vertical="bottom" textRotation="0" wrapText="1" indent="0" justifyLastLine="0" shrinkToFit="0" readingOrder="0"/>
    </dxf>
    <dxf>
      <font>
        <b/>
        <i val="0"/>
        <strike val="0"/>
        <condense val="0"/>
        <extend val="0"/>
        <outline val="0"/>
        <shadow val="0"/>
        <u val="none"/>
        <vertAlign val="baseline"/>
        <sz val="10"/>
        <color auto="1"/>
        <name val="Arial"/>
        <scheme val="none"/>
      </font>
      <numFmt numFmtId="167" formatCode="_-* #,##0_-;\-* #,##0_-;_-* &quot;-&quot;??_-;_-@_-"/>
      <fill>
        <patternFill patternType="solid">
          <fgColor indexed="64"/>
          <bgColor theme="5" tint="0.79998168889431442"/>
        </patternFill>
      </fill>
      <alignment horizontal="general" vertical="bottom" textRotation="0" wrapText="1" indent="0" justifyLastLine="0" shrinkToFit="0" readingOrder="0"/>
    </dxf>
    <dxf>
      <numFmt numFmtId="167" formatCode="_-* #,##0_-;\-* #,##0_-;_-* &quot;-&quot;??_-;_-@_-"/>
      <fill>
        <patternFill patternType="solid">
          <fgColor indexed="64"/>
          <bgColor theme="5" tint="0.79998168889431442"/>
        </patternFill>
      </fill>
      <alignment horizontal="general" vertical="bottom" textRotation="0" wrapText="1" indent="0" justifyLastLine="0" shrinkToFit="0" readingOrder="0"/>
    </dxf>
    <dxf>
      <font>
        <b/>
        <i val="0"/>
        <strike val="0"/>
        <condense val="0"/>
        <extend val="0"/>
        <outline val="0"/>
        <shadow val="0"/>
        <u val="none"/>
        <vertAlign val="baseline"/>
        <sz val="10"/>
        <color auto="1"/>
        <name val="Arial"/>
        <scheme val="none"/>
      </font>
      <numFmt numFmtId="167" formatCode="_-* #,##0_-;\-* #,##0_-;_-* &quot;-&quot;??_-;_-@_-"/>
      <fill>
        <patternFill patternType="solid">
          <fgColor indexed="64"/>
          <bgColor theme="5" tint="0.59999389629810485"/>
        </patternFill>
      </fill>
      <alignment horizontal="general" vertical="bottom" textRotation="0" wrapText="1" indent="0" justifyLastLine="0" shrinkToFit="0" readingOrder="0"/>
    </dxf>
    <dxf>
      <numFmt numFmtId="167" formatCode="_-* #,##0_-;\-* #,##0_-;_-* &quot;-&quot;??_-;_-@_-"/>
      <fill>
        <patternFill patternType="solid">
          <fgColor indexed="64"/>
          <bgColor theme="5" tint="0.59999389629810485"/>
        </patternFill>
      </fill>
      <alignment horizontal="general" vertical="bottom" textRotation="0" wrapText="1" indent="0" justifyLastLine="0" shrinkToFit="0" readingOrder="0"/>
    </dxf>
    <dxf>
      <font>
        <b/>
        <i val="0"/>
        <strike val="0"/>
        <condense val="0"/>
        <extend val="0"/>
        <outline val="0"/>
        <shadow val="0"/>
        <u val="none"/>
        <vertAlign val="baseline"/>
        <sz val="10"/>
        <color auto="1"/>
        <name val="Arial"/>
        <scheme val="none"/>
      </font>
      <numFmt numFmtId="167" formatCode="_-* #,##0_-;\-* #,##0_-;_-* &quot;-&quot;??_-;_-@_-"/>
      <fill>
        <patternFill patternType="solid">
          <fgColor indexed="64"/>
          <bgColor theme="3" tint="0.79998168889431442"/>
        </patternFill>
      </fill>
      <alignment horizontal="general" vertical="bottom" textRotation="0" wrapText="1" indent="0" justifyLastLine="0" shrinkToFit="0" readingOrder="0"/>
    </dxf>
    <dxf>
      <numFmt numFmtId="167" formatCode="_-* #,##0_-;\-* #,##0_-;_-* &quot;-&quot;??_-;_-@_-"/>
      <fill>
        <patternFill patternType="solid">
          <fgColor indexed="64"/>
          <bgColor theme="3" tint="0.79998168889431442"/>
        </patternFill>
      </fill>
      <alignment horizontal="general" vertical="bottom" textRotation="0" wrapText="1" indent="0" justifyLastLine="0" shrinkToFit="0" readingOrder="0"/>
    </dxf>
    <dxf>
      <font>
        <b/>
        <i val="0"/>
        <strike val="0"/>
        <condense val="0"/>
        <extend val="0"/>
        <outline val="0"/>
        <shadow val="0"/>
        <u val="none"/>
        <vertAlign val="baseline"/>
        <sz val="10"/>
        <color auto="1"/>
        <name val="Arial"/>
        <scheme val="none"/>
      </font>
      <numFmt numFmtId="167" formatCode="_-* #,##0_-;\-* #,##0_-;_-* &quot;-&quot;??_-;_-@_-"/>
      <fill>
        <patternFill patternType="solid">
          <fgColor indexed="64"/>
          <bgColor theme="3" tint="0.79998168889431442"/>
        </patternFill>
      </fill>
      <alignment horizontal="general" vertical="bottom" textRotation="0" wrapText="1" indent="0" justifyLastLine="0" shrinkToFit="0" readingOrder="0"/>
    </dxf>
    <dxf>
      <numFmt numFmtId="167" formatCode="_-* #,##0_-;\-* #,##0_-;_-* &quot;-&quot;??_-;_-@_-"/>
      <fill>
        <patternFill patternType="solid">
          <fgColor indexed="64"/>
          <bgColor theme="3" tint="0.79998168889431442"/>
        </patternFill>
      </fill>
      <alignment horizontal="general" vertical="bottom" textRotation="0" wrapText="1" indent="0" justifyLastLine="0" shrinkToFit="0" readingOrder="0"/>
    </dxf>
    <dxf>
      <font>
        <b/>
        <i val="0"/>
        <strike val="0"/>
        <condense val="0"/>
        <extend val="0"/>
        <outline val="0"/>
        <shadow val="0"/>
        <u val="none"/>
        <vertAlign val="baseline"/>
        <sz val="10"/>
        <color auto="1"/>
        <name val="Arial"/>
        <scheme val="none"/>
      </font>
      <numFmt numFmtId="167" formatCode="_-* #,##0_-;\-* #,##0_-;_-* &quot;-&quot;??_-;_-@_-"/>
      <fill>
        <patternFill patternType="solid">
          <fgColor indexed="64"/>
          <bgColor theme="3" tint="0.59999389629810485"/>
        </patternFill>
      </fill>
      <alignment horizontal="general" vertical="bottom" textRotation="0" wrapText="1" indent="0" justifyLastLine="0" shrinkToFit="0" readingOrder="0"/>
    </dxf>
    <dxf>
      <numFmt numFmtId="167" formatCode="_-* #,##0_-;\-* #,##0_-;_-* &quot;-&quot;??_-;_-@_-"/>
      <fill>
        <patternFill patternType="solid">
          <fgColor indexed="64"/>
          <bgColor theme="3" tint="0.59999389629810485"/>
        </patternFill>
      </fill>
      <alignment horizontal="general" vertical="bottom" textRotation="0" wrapText="1" indent="0" justifyLastLine="0" shrinkToFit="0" readingOrder="0"/>
    </dxf>
    <dxf>
      <numFmt numFmtId="168" formatCode="_-[$$-409]* #,##0_ ;_-[$$-409]* \-#,##0\ ;_-[$$-409]* &quot;-&quot;??_ ;_-@_ "/>
      <fill>
        <patternFill patternType="solid">
          <fgColor indexed="64"/>
          <bgColor theme="0" tint="-4.9989318521683403E-2"/>
        </patternFill>
      </fill>
    </dxf>
    <dxf>
      <numFmt numFmtId="168" formatCode="_-[$$-409]* #,##0_ ;_-[$$-409]* \-#,##0\ ;_-[$$-409]* &quot;-&quot;??_ ;_-@_ "/>
      <fill>
        <patternFill patternType="solid">
          <fgColor indexed="64"/>
          <bgColor theme="0" tint="-4.9989318521683403E-2"/>
        </patternFill>
      </fill>
    </dxf>
    <dxf>
      <numFmt numFmtId="13" formatCode="0%"/>
      <fill>
        <patternFill patternType="solid">
          <fgColor indexed="64"/>
          <bgColor theme="0" tint="-4.9989318521683403E-2"/>
        </patternFill>
      </fill>
    </dxf>
    <dxf>
      <numFmt numFmtId="13" formatCode="0%"/>
      <fill>
        <patternFill patternType="solid">
          <fgColor indexed="64"/>
          <bgColor theme="0" tint="-4.9989318521683403E-2"/>
        </patternFill>
      </fill>
    </dxf>
    <dxf>
      <numFmt numFmtId="168" formatCode="_-[$$-409]* #,##0_ ;_-[$$-409]* \-#,##0\ ;_-[$$-409]* &quot;-&quot;??_ ;_-@_ "/>
      <fill>
        <patternFill patternType="solid">
          <fgColor indexed="64"/>
          <bgColor theme="0" tint="-4.9989318521683403E-2"/>
        </patternFill>
      </fill>
    </dxf>
    <dxf>
      <numFmt numFmtId="168" formatCode="_-[$$-409]* #,##0_ ;_-[$$-409]* \-#,##0\ ;_-[$$-409]* &quot;-&quot;??_ ;_-@_ "/>
      <fill>
        <patternFill patternType="solid">
          <fgColor indexed="64"/>
          <bgColor theme="0" tint="-4.9989318521683403E-2"/>
        </patternFill>
      </fill>
    </dxf>
    <dxf>
      <numFmt numFmtId="168" formatCode="_-[$$-409]* #,##0_ ;_-[$$-409]* \-#,##0\ ;_-[$$-409]* &quot;-&quot;??_ ;_-@_ "/>
      <fill>
        <patternFill patternType="solid">
          <fgColor indexed="64"/>
          <bgColor theme="0" tint="-4.9989318521683403E-2"/>
        </patternFill>
      </fill>
    </dxf>
    <dxf>
      <numFmt numFmtId="168" formatCode="_-[$$-409]* #,##0_ ;_-[$$-409]* \-#,##0\ ;_-[$$-409]* &quot;-&quot;??_ ;_-@_ "/>
      <fill>
        <patternFill patternType="solid">
          <fgColor indexed="64"/>
          <bgColor theme="0" tint="-4.9989318521683403E-2"/>
        </patternFill>
      </fill>
    </dxf>
    <dxf>
      <numFmt numFmtId="168" formatCode="_-[$$-409]* #,##0_ ;_-[$$-409]* \-#,##0\ ;_-[$$-409]* &quot;-&quot;??_ ;_-@_ "/>
      <fill>
        <patternFill patternType="solid">
          <fgColor indexed="64"/>
          <bgColor theme="0" tint="-4.9989318521683403E-2"/>
        </patternFill>
      </fill>
    </dxf>
    <dxf>
      <numFmt numFmtId="168" formatCode="_-[$$-409]* #,##0_ ;_-[$$-409]* \-#,##0\ ;_-[$$-409]* &quot;-&quot;??_ ;_-@_ "/>
      <fill>
        <patternFill patternType="solid">
          <fgColor indexed="64"/>
          <bgColor theme="0" tint="-4.9989318521683403E-2"/>
        </patternFill>
      </fill>
    </dxf>
    <dxf>
      <numFmt numFmtId="168" formatCode="_-[$$-409]* #,##0_ ;_-[$$-409]* \-#,##0\ ;_-[$$-409]* &quot;-&quot;??_ ;_-@_ "/>
      <fill>
        <patternFill patternType="solid">
          <fgColor indexed="64"/>
          <bgColor theme="0" tint="-4.9989318521683403E-2"/>
        </patternFill>
      </fill>
    </dxf>
    <dxf>
      <numFmt numFmtId="168" formatCode="_-[$$-409]* #,##0_ ;_-[$$-409]* \-#,##0\ ;_-[$$-409]* &quot;-&quot;??_ ;_-@_ "/>
      <fill>
        <patternFill patternType="solid">
          <fgColor indexed="64"/>
          <bgColor theme="0" tint="-4.9989318521683403E-2"/>
        </patternFill>
      </fill>
    </dxf>
    <dxf>
      <numFmt numFmtId="168" formatCode="_-[$$-409]* #,##0_ ;_-[$$-409]* \-#,##0\ ;_-[$$-409]* &quot;-&quot;??_ ;_-@_ "/>
      <fill>
        <patternFill patternType="solid">
          <fgColor indexed="64"/>
          <bgColor theme="0" tint="-4.9989318521683403E-2"/>
        </patternFill>
      </fill>
    </dxf>
    <dxf>
      <numFmt numFmtId="168" formatCode="_-[$$-409]* #,##0_ ;_-[$$-409]* \-#,##0\ ;_-[$$-409]* &quot;-&quot;??_ ;_-@_ "/>
      <fill>
        <patternFill patternType="solid">
          <fgColor indexed="64"/>
          <bgColor theme="0" tint="-4.9989318521683403E-2"/>
        </patternFill>
      </fill>
    </dxf>
    <dxf>
      <numFmt numFmtId="168" formatCode="_-[$$-409]* #,##0_ ;_-[$$-409]* \-#,##0\ ;_-[$$-409]* &quot;-&quot;??_ ;_-@_ "/>
      <fill>
        <patternFill patternType="solid">
          <fgColor indexed="64"/>
          <bgColor theme="0" tint="-4.9989318521683403E-2"/>
        </patternFill>
      </fill>
    </dxf>
    <dxf>
      <numFmt numFmtId="168" formatCode="_-[$$-409]* #,##0_ ;_-[$$-409]* \-#,##0\ ;_-[$$-409]* &quot;-&quot;??_ ;_-@_ "/>
      <fill>
        <patternFill patternType="solid">
          <fgColor indexed="64"/>
          <bgColor theme="0" tint="-4.9989318521683403E-2"/>
        </patternFill>
      </fill>
    </dxf>
    <dxf>
      <numFmt numFmtId="168" formatCode="_-[$$-409]* #,##0_ ;_-[$$-409]* \-#,##0\ ;_-[$$-409]* &quot;-&quot;??_ ;_-@_ "/>
      <fill>
        <patternFill patternType="solid">
          <fgColor indexed="64"/>
          <bgColor theme="0" tint="-4.9989318521683403E-2"/>
        </patternFill>
      </fill>
    </dxf>
    <dxf>
      <numFmt numFmtId="168" formatCode="_-[$$-409]* #,##0_ ;_-[$$-409]* \-#,##0\ ;_-[$$-409]* &quot;-&quot;??_ ;_-@_ "/>
      <fill>
        <patternFill patternType="solid">
          <fgColor indexed="64"/>
          <bgColor theme="0" tint="-4.9989318521683403E-2"/>
        </patternFill>
      </fill>
    </dxf>
    <dxf>
      <numFmt numFmtId="168" formatCode="_-[$$-409]* #,##0_ ;_-[$$-409]* \-#,##0\ ;_-[$$-409]* &quot;-&quot;??_ ;_-@_ "/>
      <fill>
        <patternFill patternType="solid">
          <fgColor indexed="64"/>
          <bgColor theme="0" tint="-4.9989318521683403E-2"/>
        </patternFill>
      </fill>
    </dxf>
    <dxf>
      <numFmt numFmtId="168" formatCode="_-[$$-409]* #,##0_ ;_-[$$-409]* \-#,##0\ ;_-[$$-409]* &quot;-&quot;??_ ;_-@_ "/>
      <fill>
        <patternFill patternType="solid">
          <fgColor indexed="64"/>
          <bgColor theme="0" tint="-4.9989318521683403E-2"/>
        </patternFill>
      </fill>
    </dxf>
    <dxf>
      <numFmt numFmtId="168" formatCode="_-[$$-409]* #,##0_ ;_-[$$-409]* \-#,##0\ ;_-[$$-409]* &quot;-&quot;??_ ;_-@_ "/>
      <fill>
        <patternFill patternType="solid">
          <fgColor indexed="64"/>
          <bgColor theme="0" tint="-4.9989318521683403E-2"/>
        </patternFill>
      </fill>
    </dxf>
    <dxf>
      <numFmt numFmtId="168" formatCode="_-[$$-409]* #,##0_ ;_-[$$-409]* \-#,##0\ ;_-[$$-409]* &quot;-&quot;??_ ;_-@_ "/>
      <fill>
        <patternFill patternType="solid">
          <fgColor indexed="64"/>
          <bgColor theme="0" tint="-4.9989318521683403E-2"/>
        </patternFill>
      </fill>
    </dxf>
    <dxf>
      <fill>
        <patternFill patternType="solid">
          <fgColor indexed="64"/>
          <bgColor theme="0" tint="-4.9989318521683403E-2"/>
        </patternFill>
      </fill>
    </dxf>
    <dxf>
      <fill>
        <patternFill patternType="solid">
          <fgColor indexed="64"/>
          <bgColor theme="0" tint="-4.9989318521683403E-2"/>
        </patternFill>
      </fill>
    </dxf>
    <dxf>
      <fill>
        <patternFill patternType="solid">
          <fgColor indexed="64"/>
          <bgColor theme="0" tint="-4.9989318521683403E-2"/>
        </patternFill>
      </fill>
    </dxf>
    <dxf>
      <fill>
        <patternFill patternType="solid">
          <fgColor indexed="64"/>
          <bgColor theme="0" tint="-4.9989318521683403E-2"/>
        </patternFill>
      </fill>
    </dxf>
    <dxf>
      <fill>
        <patternFill patternType="solid">
          <fgColor indexed="64"/>
          <bgColor theme="0" tint="-4.9989318521683403E-2"/>
        </patternFill>
      </fill>
    </dxf>
    <dxf>
      <fill>
        <patternFill patternType="solid">
          <fgColor indexed="64"/>
          <bgColor theme="0" tint="-4.9989318521683403E-2"/>
        </patternFill>
      </fill>
      <alignment horizontal="left" vertical="bottom" textRotation="0" wrapText="0" indent="0" justifyLastLine="0" shrinkToFit="0" readingOrder="0"/>
    </dxf>
    <dxf>
      <fill>
        <patternFill patternType="solid">
          <fgColor indexed="64"/>
          <bgColor theme="0" tint="-4.9989318521683403E-2"/>
        </patternFill>
      </fill>
    </dxf>
    <dxf>
      <fill>
        <patternFill patternType="solid">
          <fgColor indexed="64"/>
          <bgColor theme="0" tint="-4.9989318521683403E-2"/>
        </patternFill>
      </fill>
    </dxf>
    <dxf>
      <fill>
        <patternFill patternType="solid">
          <fgColor indexed="64"/>
          <bgColor theme="8" tint="0.79998168889431442"/>
        </patternFill>
      </fill>
    </dxf>
    <dxf>
      <font>
        <b/>
        <i val="0"/>
        <strike val="0"/>
        <condense val="0"/>
        <extend val="0"/>
        <outline val="0"/>
        <shadow val="0"/>
        <u val="none"/>
        <vertAlign val="baseline"/>
        <sz val="10"/>
        <color rgb="FF000000"/>
        <name val="Arial"/>
        <scheme val="none"/>
      </font>
      <numFmt numFmtId="167" formatCode="_-* #,##0_-;\-* #,##0_-;_-* &quot;-&quot;??_-;_-@_-"/>
      <fill>
        <patternFill patternType="solid">
          <fgColor indexed="64"/>
          <bgColor theme="8" tint="0.39997558519241921"/>
        </patternFill>
      </fill>
      <alignment horizontal="general" vertical="bottom" textRotation="0" wrapText="1" indent="0" justifyLastLine="0" shrinkToFit="0" readingOrder="0"/>
    </dxf>
  </dxfs>
  <tableStyles count="0" defaultTableStyle="TableStyleMedium2"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Charlie Makin" id="{66719E98-6390-482D-B762-C27A3E05F149}" userId="S::charlie.makin@defra.gov.uk::db506a07-e168-4cca-810f-c74fa8930118"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37FEC19-36C4-4A74-A533-309191C99B85}" name="Table1" displayName="Table1" ref="A2:AP10" totalsRowCount="1" headerRowDxfId="85" dataDxfId="84">
  <autoFilter ref="A2:AP9" xr:uid="{237FEC19-36C4-4A74-A533-309191C99B85}"/>
  <tableColumns count="42">
    <tableColumn id="1" xr3:uid="{C1EC31AD-3200-4BCC-A6A2-6B1012BB056F}" name="Project" dataDxfId="83" totalsRowDxfId="82"/>
    <tableColumn id="2" xr3:uid="{30659C40-8139-4469-8FB1-AD2AF180FEB0}" name="Country(ies)" dataDxfId="81" totalsRowDxfId="80"/>
    <tableColumn id="43" xr3:uid="{99FC8D12-F034-46D0-9929-C2EC01594226}" name="SIDS/LDC" dataDxfId="79" totalsRowDxfId="78"/>
    <tableColumn id="3" xr3:uid="{6F5FEA2D-8308-4490-AA8C-09C829458798}" name="Approval year" dataDxfId="77" totalsRowDxfId="76"/>
    <tableColumn id="4" xr3:uid="{19B16F01-F2BB-43F5-8DF9-19341BBDA25B}" name="Grant Cost (USD)" totalsRowFunction="custom" dataDxfId="75" totalsRowDxfId="74">
      <totalsRowFormula>SUM(Table1[Grant Cost (USD)])</totalsRowFormula>
    </tableColumn>
    <tableColumn id="5" xr3:uid="{79CBDDDE-B9FB-475C-86DE-9D44CC235079}" name="Agency Fee (USD)" totalsRowFunction="custom" dataDxfId="73" totalsRowDxfId="72">
      <totalsRowFormula>SUM(Table1[Agency Fee (USD)])</totalsRowFormula>
    </tableColumn>
    <tableColumn id="38" xr3:uid="{380045BA-23B7-45ED-A95F-6E9BAA8FDCAF}" name="PPG Amount (USD)" totalsRowFunction="custom" dataDxfId="71" totalsRowDxfId="70">
      <totalsRowFormula>SUM(Table1[PPG Amount (USD)])</totalsRowFormula>
    </tableColumn>
    <tableColumn id="40" xr3:uid="{C02A50F5-8F6C-4F5E-8B6A-1DFABE92DB01}" name="PPG Agency Fee" totalsRowFunction="custom" dataDxfId="69" totalsRowDxfId="68">
      <totalsRowFormula>SUM(Table1[PPG Agency Fee])</totalsRowFormula>
    </tableColumn>
    <tableColumn id="6" xr3:uid="{30079FA7-20F0-4913-8011-23A0593080CA}" name="Total GEF Cost" totalsRowFunction="custom" dataDxfId="67" totalsRowDxfId="66">
      <calculatedColumnFormula>SUM(E3:H3)</calculatedColumnFormula>
      <totalsRowFormula>SUM(Table1[Total GEF Cost])</totalsRowFormula>
    </tableColumn>
    <tableColumn id="7" xr3:uid="{19392003-D170-4627-AD26-75D6BC103CF6}" name="Cofinancing" totalsRowFunction="custom" dataDxfId="65" totalsRowDxfId="64">
      <totalsRowFormula>SUM(Table1[Cofinancing])</totalsRowFormula>
    </tableColumn>
    <tableColumn id="41" xr3:uid="{5811F63C-60CA-4DFF-919E-9FD8449B2B6E}" name="Of which private" totalsRowFunction="custom" dataDxfId="63" totalsRowDxfId="62">
      <totalsRowFormula>SUM(Table1[Of which private])</totalsRowFormula>
    </tableColumn>
    <tableColumn id="36" xr3:uid="{55FDDB88-6299-46F9-B358-3927A0C18512}" name="Of which public" totalsRowFunction="custom" dataDxfId="61" totalsRowDxfId="60">
      <calculatedColumnFormula>Table1[[#This Row],[Cofinancing]]-Table1[[#This Row],[Of which private]]</calculatedColumnFormula>
      <totalsRowFormula>SUM(Table1[Of which public])</totalsRowFormula>
    </tableColumn>
    <tableColumn id="37" xr3:uid="{0F85F250-EDD7-4789-8C97-B7F1F13902CA}" name="IPLC Finance" totalsRowFunction="custom" dataDxfId="59" totalsRowDxfId="58">
      <calculatedColumnFormula>Table1[[#This Row],[% IPLC]]*Table1[[#This Row],[Grant Cost (USD)]]</calculatedColumnFormula>
      <totalsRowFormula>SUM(Table1[IPLC Finance])</totalsRowFormula>
    </tableColumn>
    <tableColumn id="8" xr3:uid="{77AEA7E3-8EAF-42C6-8022-5838ABEA1ADB}" name="% IPLC" totalsRowFunction="custom" dataDxfId="57" totalsRowDxfId="56">
      <calculatedColumnFormula>Table1[[#This Row],[IPLC Finance]]/Table1[[#This Row],[Grant Cost (USD)]]</calculatedColumnFormula>
      <totalsRowFormula>SUMPRODUCT(Table1[% IPLC],Table1[Grant Cost (USD)])/SUM(Table1[Total GEF Cost])</totalsRowFormula>
    </tableColumn>
    <tableColumn id="42" xr3:uid="{2AF357E1-80F3-4CAC-9240-083C9D6A5AE5}" name="SIDS/LDC Finance" totalsRowFunction="custom" dataDxfId="55" totalsRowDxfId="54">
      <calculatedColumnFormula>Table1[[#This Row],[Grant Cost (USD)]]*Table1[[#This Row],[SIDS/LDC]]</calculatedColumnFormula>
      <totalsRowFormula>SUM(Table1[SIDS/LDC Finance])</totalsRowFormula>
    </tableColumn>
    <tableColumn id="9" xr3:uid="{0F7D9088-1642-46A4-BAF3-722C51F8294F}" name="1. Terrestrial protected areas created or under improved management (Ha)" dataDxfId="53" totalsRowDxfId="52"/>
    <tableColumn id="10" xr3:uid="{7441786D-A7DE-49D8-A471-B6814E40F4B1}" name="1.1 Terrestiral Protected Areas Newly created (Ha)" dataDxfId="51" totalsRowDxfId="50"/>
    <tableColumn id="11" xr3:uid="{3BAE2E16-7A0A-4C6B-9BCE-3CDADDB58B32}" name="1.2 Terrestrial Protected Areas Under Improved Management (Ha)" dataDxfId="49" totalsRowDxfId="48"/>
    <tableColumn id="12" xr3:uid="{77CA9E70-62B8-4286-9CCE-6CD3E3542FCB}" name="2. Marine protected areas created or under improved management (Ha)" dataDxfId="47" totalsRowDxfId="46"/>
    <tableColumn id="13" xr3:uid="{08294C66-F622-4A60-A212-528402261E31}" name="2.1 Marine Protected Areas Newly created (Ha)" dataDxfId="45" totalsRowDxfId="44"/>
    <tableColumn id="14" xr3:uid="{C6575AFD-404B-4E90-8539-0BD3D09C6E6B}" name="2.2 Marine Protected Areas Under improved management effectiveness" dataDxfId="43" totalsRowDxfId="42"/>
    <tableColumn id="15" xr3:uid="{C7C221B9-68E1-4615-8B6B-880B9710497B}" name="3. Area of land and ecosystems under restoration" dataDxfId="41" totalsRowDxfId="40"/>
    <tableColumn id="16" xr3:uid="{9B5F565A-F1A4-4F72-85EA-322C57F932CD}" name="3.1 Area of degraded agricultural lands under restoration" dataDxfId="39" totalsRowDxfId="38"/>
    <tableColumn id="17" xr3:uid="{BDEB31E6-4D14-451B-8563-64067B1A8DB5}" name="3.2 Area of forest and forest land under restoration" dataDxfId="37" totalsRowDxfId="36"/>
    <tableColumn id="18" xr3:uid="{68F795E4-C5D6-42BA-9E98-B5701580BA8F}" name="3.3 Area of natural grass and woodland under restoration" dataDxfId="35" totalsRowDxfId="34"/>
    <tableColumn id="19" xr3:uid="{E6F4EB27-94D2-4D81-A052-E4965327075C}" name="3.4 Area of wetlands (including estuaries, mangroves) under restoration" dataDxfId="33" totalsRowDxfId="32"/>
    <tableColumn id="20" xr3:uid="{586B7A8A-D684-4DF4-BB45-68C5BB3A059D}" name="4. Area of landscape under improved pratice, excluding protected areas (Ha)" dataDxfId="31" totalsRowDxfId="30"/>
    <tableColumn id="21" xr3:uid="{F9515835-F869-45F5-A866-684154EE7319}" name="4.1 Area of landscapes under improved management to benefit biodiversity (Ha)" dataDxfId="29" totalsRowDxfId="28"/>
    <tableColumn id="22" xr3:uid="{4CF820B4-7884-484B-B2E0-5284686072AC}" name="4.2 Area of landscapes under third-party certification incorporating biodiversity considerations (Ha)" dataDxfId="27" totalsRowDxfId="26"/>
    <tableColumn id="23" xr3:uid="{D3D6D085-296C-4E28-B92A-AD231B9B0854}" name="4.3 Area of landscapes under sustainable land management in production systems (Ha)" dataDxfId="25" totalsRowDxfId="24"/>
    <tableColumn id="24" xr3:uid="{153767E5-B76E-4940-9F00-915EF27D3E1B}" name="4.4 Area of High Conservation Value or other forest loss avoided (Ha)" dataDxfId="23" totalsRowDxfId="22"/>
    <tableColumn id="34" xr3:uid="{3EE4937E-07A2-4C10-86C1-BA0D1B774403}" name="5. Area of marine habitat under improved practices (million ha)" dataDxfId="21" totalsRowDxfId="20"/>
    <tableColumn id="35" xr3:uid="{EB7700E7-E9C4-4788-994E-F3E42D7DF139}" name="6. Greenhouse Gas Emissions Mitigated (tCO2e)" dataDxfId="19" totalsRowDxfId="18">
      <calculatedColumnFormula>SUM(AH3:AI3)</calculatedColumnFormula>
    </tableColumn>
    <tableColumn id="25" xr3:uid="{EF3C77B0-D182-4771-967E-E3DEEFACCF1F}" name="6.a Direct Greenhouse Gas Emissions Mitigated (tCO2e)2" dataDxfId="17" totalsRowDxfId="16"/>
    <tableColumn id="26" xr3:uid="{CC34839D-3791-41E7-BDA3-FEFF67714701}" name="6.b Indirect Greenhouse Gas Emissions Mitigated (tCO2e)" dataDxfId="15" totalsRowDxfId="14"/>
    <tableColumn id="27" xr3:uid="{C315EE42-281E-4A40-BD70-8C3532645F1D}" name="6.1.a Direct Carbon Sequestered or Emissions Avoided in the AFOLU" dataDxfId="13" totalsRowDxfId="12"/>
    <tableColumn id="28" xr3:uid="{3C904843-FBFC-4C72-93FF-A7A985D79EDC}" name="6.1.b Indirect Carbon Sequestered or Emissions Avoided in the AFOLU" dataDxfId="11" totalsRowDxfId="10"/>
    <tableColumn id="29" xr3:uid="{DCA5D6CF-03B9-49FB-91B1-296BDD2D9148}" name="6.2 Emissions Avoided Outside AFOLU" dataDxfId="9" totalsRowDxfId="8"/>
    <tableColumn id="30" xr3:uid="{2826069F-33A3-4DDE-AB10-2072B77411BE}" name="6.3 Energy Saved" dataDxfId="7" totalsRowDxfId="6"/>
    <tableColumn id="31" xr3:uid="{A6D7B2B1-60C4-4E40-BCB3-5CC432C7567F}" name="6.4 Increase in Installed Renewable Energy Capacity per Technology" dataDxfId="5" totalsRowDxfId="4"/>
    <tableColumn id="32" xr3:uid="{7698FD8C-D819-4122-AFAD-F2872FE738B3}" name="11. People benefiting from GEF investment" dataDxfId="3" totalsRowDxfId="2"/>
    <tableColumn id="33" xr3:uid="{CEA33141-1893-4173-92B5-372A240C825C}" name="11.1 of whom women" dataDxfId="1" totalsRowDxfId="0"/>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7" dT="2025-06-09T10:25:19.15" personId="{66719E98-6390-482D-B762-C27A3E05F149}" id="{B0F43C1E-00A6-4AFE-A9A8-02ADCDE6E1AC}">
    <text>Update value for AR26</text>
  </threadedComment>
</ThreadedComments>
</file>

<file path=xl/worksheets/_rels/sheet4.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2" Type="http://schemas.openxmlformats.org/officeDocument/2006/relationships/hyperlink" Target="https://www.thegef.org/sites/default/files/documents/2024-02/EN_GEF.C.64.Inf_.04_Scorecard_June_2023.pdf" TargetMode="External"/><Relationship Id="rId1" Type="http://schemas.openxmlformats.org/officeDocument/2006/relationships/hyperlink" Target="https://iatipublisher-prod.s3.amazonaws.com/document-link/414/GBF-Fund-Full-Business-Case-%28Redacted%29-202408210208371745544305.pdf"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u:/r/teams/Team3502/CBD/CBD%20Implementation/Resource%20Mobilization/GEF/GBF%20Fund/UK%20Contribution/Delivery/Programme%20Management/Annual%20Review/GBFF%20ICF%20reporting%20(UK).msg?csf=1&amp;web=1&amp;e=Is98iy"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bd.int/reports/searc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583D5-8C19-452F-8DD9-027C79816DF2}">
  <dimension ref="A1:L11"/>
  <sheetViews>
    <sheetView workbookViewId="0">
      <selection activeCell="E11" sqref="E11"/>
    </sheetView>
  </sheetViews>
  <sheetFormatPr defaultRowHeight="12.75" x14ac:dyDescent="0.2"/>
  <sheetData>
    <row r="1" spans="1:12" ht="30.75" customHeight="1" x14ac:dyDescent="0.2">
      <c r="A1" s="223" t="s">
        <v>0</v>
      </c>
      <c r="B1" s="224"/>
      <c r="C1" s="224"/>
      <c r="D1" s="224"/>
      <c r="E1" s="224"/>
      <c r="F1" s="224"/>
      <c r="G1" s="224"/>
      <c r="H1" s="224"/>
      <c r="I1" s="224"/>
      <c r="J1" s="224"/>
      <c r="K1" s="224"/>
      <c r="L1" s="224"/>
    </row>
    <row r="3" spans="1:12" ht="99.75" customHeight="1" x14ac:dyDescent="0.2">
      <c r="A3" s="223" t="s">
        <v>1</v>
      </c>
      <c r="B3" s="224"/>
      <c r="C3" s="224"/>
      <c r="D3" s="224"/>
      <c r="E3" s="224"/>
      <c r="F3" s="224"/>
      <c r="G3" s="224"/>
      <c r="H3" s="224"/>
      <c r="I3" s="224"/>
      <c r="J3" s="224"/>
      <c r="K3" s="224"/>
      <c r="L3" s="224"/>
    </row>
    <row r="5" spans="1:12" ht="24.75" customHeight="1" x14ac:dyDescent="0.2">
      <c r="A5" s="224" t="s">
        <v>2</v>
      </c>
      <c r="B5" s="224"/>
      <c r="C5" s="224"/>
      <c r="D5" s="224"/>
      <c r="E5" s="224"/>
      <c r="F5" s="224"/>
      <c r="G5" s="224"/>
      <c r="H5" s="224"/>
      <c r="I5" s="224"/>
      <c r="J5" s="224"/>
      <c r="K5" s="224"/>
      <c r="L5" s="224"/>
    </row>
    <row r="10" spans="1:12" x14ac:dyDescent="0.2">
      <c r="E10" s="176"/>
    </row>
    <row r="11" spans="1:12" x14ac:dyDescent="0.2">
      <c r="E11" s="178"/>
    </row>
  </sheetData>
  <mergeCells count="3">
    <mergeCell ref="A3:L3"/>
    <mergeCell ref="A1:L1"/>
    <mergeCell ref="A5:L5"/>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0BFB14-5380-45BF-B19E-FBC2A1406388}">
  <sheetPr>
    <tabColor rgb="FF00B0F0"/>
  </sheetPr>
  <dimension ref="A1:G70"/>
  <sheetViews>
    <sheetView workbookViewId="0">
      <pane ySplit="1" topLeftCell="A2" activePane="bottomLeft" state="frozen"/>
      <selection pane="bottomLeft" activeCell="B34" sqref="B34"/>
    </sheetView>
  </sheetViews>
  <sheetFormatPr defaultRowHeight="12.75" x14ac:dyDescent="0.2"/>
  <cols>
    <col min="1" max="1" width="46.28515625" customWidth="1"/>
    <col min="2" max="2" width="13.140625" style="88" customWidth="1"/>
    <col min="3" max="7" width="13.140625" customWidth="1"/>
  </cols>
  <sheetData>
    <row r="1" spans="1:7" s="1" customFormat="1" ht="25.5" x14ac:dyDescent="0.2">
      <c r="B1" s="93" t="s">
        <v>245</v>
      </c>
      <c r="C1" s="1" t="s">
        <v>246</v>
      </c>
      <c r="D1" s="1" t="s">
        <v>247</v>
      </c>
      <c r="E1" s="1" t="s">
        <v>248</v>
      </c>
      <c r="F1" s="1" t="s">
        <v>249</v>
      </c>
      <c r="G1" s="1" t="s">
        <v>250</v>
      </c>
    </row>
    <row r="2" spans="1:7" x14ac:dyDescent="0.2">
      <c r="A2" s="153" t="s">
        <v>251</v>
      </c>
      <c r="B2" s="154">
        <f>'AR25 Results'!J3</f>
        <v>20953.609022556397</v>
      </c>
      <c r="C2" s="153" t="s">
        <v>252</v>
      </c>
      <c r="D2" s="154">
        <f>B2</f>
        <v>20953.609022556397</v>
      </c>
      <c r="E2" s="153" t="s">
        <v>252</v>
      </c>
      <c r="F2" s="154">
        <f>B2-G2</f>
        <v>10330.225563909778</v>
      </c>
      <c r="G2" s="154">
        <f>'AR25 Results'!J4</f>
        <v>10623.383458646618</v>
      </c>
    </row>
    <row r="3" spans="1:7" x14ac:dyDescent="0.2">
      <c r="A3" s="155" t="s">
        <v>253</v>
      </c>
      <c r="B3" s="156">
        <f>'Project Data'!AO3*Inputs!B7*'GBFF Pot'!$B$8</f>
        <v>12277.669172932332</v>
      </c>
      <c r="C3" s="155"/>
      <c r="D3" s="155"/>
      <c r="E3" s="155"/>
      <c r="F3" s="155"/>
      <c r="G3" s="155"/>
    </row>
    <row r="4" spans="1:7" x14ac:dyDescent="0.2">
      <c r="A4" s="155" t="s">
        <v>254</v>
      </c>
      <c r="B4" s="156">
        <f>(SUM('Project Data'!AO4:AO5))*Inputs!B7*'GBFF Pot'!$B$8</f>
        <v>4916.541353383459</v>
      </c>
      <c r="C4" s="155"/>
      <c r="D4" s="155"/>
      <c r="E4" s="155"/>
      <c r="F4" s="155"/>
      <c r="G4" s="155"/>
    </row>
    <row r="5" spans="1:7" x14ac:dyDescent="0.2">
      <c r="A5" s="155" t="s">
        <v>255</v>
      </c>
      <c r="B5" s="156"/>
      <c r="C5" s="155"/>
      <c r="D5" s="155"/>
      <c r="E5" s="155"/>
      <c r="F5" s="155"/>
      <c r="G5" s="155"/>
    </row>
    <row r="6" spans="1:7" x14ac:dyDescent="0.2">
      <c r="A6" s="155" t="s">
        <v>256</v>
      </c>
      <c r="B6" s="156">
        <f>'Project Data'!AO7*Inputs!B7*'GBFF Pot'!$B$8</f>
        <v>3759.3984962406021</v>
      </c>
      <c r="C6" s="156"/>
      <c r="D6" s="155"/>
      <c r="E6" s="155"/>
      <c r="F6" s="155"/>
      <c r="G6" s="155"/>
    </row>
    <row r="7" spans="1:7" x14ac:dyDescent="0.2">
      <c r="A7" s="155" t="s">
        <v>257</v>
      </c>
      <c r="B7" s="156"/>
      <c r="C7" s="155"/>
      <c r="D7" s="155"/>
      <c r="E7" s="155"/>
      <c r="F7" s="155"/>
      <c r="G7" s="155"/>
    </row>
    <row r="8" spans="1:7" x14ac:dyDescent="0.2">
      <c r="A8" s="155" t="s">
        <v>258</v>
      </c>
      <c r="B8" s="156"/>
      <c r="C8" s="155"/>
      <c r="D8" s="155"/>
      <c r="E8" s="155"/>
      <c r="F8" s="155"/>
      <c r="G8" s="155"/>
    </row>
    <row r="9" spans="1:7" x14ac:dyDescent="0.2">
      <c r="A9" s="155" t="s">
        <v>259</v>
      </c>
      <c r="B9" s="156"/>
      <c r="C9" s="155"/>
      <c r="D9" s="155"/>
      <c r="E9" s="155"/>
      <c r="F9" s="155"/>
      <c r="G9" s="155"/>
    </row>
    <row r="10" spans="1:7" x14ac:dyDescent="0.2">
      <c r="A10" s="155" t="s">
        <v>260</v>
      </c>
      <c r="B10" s="156"/>
      <c r="C10" s="155"/>
      <c r="D10" s="155"/>
      <c r="E10" s="155"/>
      <c r="F10" s="155"/>
      <c r="G10" s="155"/>
    </row>
    <row r="12" spans="1:7" x14ac:dyDescent="0.2">
      <c r="A12" s="157" t="s">
        <v>261</v>
      </c>
      <c r="B12" s="158">
        <f>'AR25 Results'!J5</f>
        <v>5283281.462406015</v>
      </c>
      <c r="C12" s="158">
        <f>Milestones!E4</f>
        <v>6750695.5200000005</v>
      </c>
      <c r="D12" s="158">
        <f>B12</f>
        <v>5283281.462406015</v>
      </c>
      <c r="E12" s="158">
        <f>C12</f>
        <v>6750695.5200000005</v>
      </c>
      <c r="F12" s="157"/>
      <c r="G12" s="157"/>
    </row>
    <row r="13" spans="1:7" x14ac:dyDescent="0.2">
      <c r="A13" s="159" t="s">
        <v>253</v>
      </c>
      <c r="B13" s="160">
        <f>'Project Data'!AG3*Inputs!B7*'GBFF Pot'!B8</f>
        <v>428571.42857142864</v>
      </c>
      <c r="C13" s="160"/>
      <c r="D13" s="160"/>
      <c r="E13" s="160"/>
      <c r="F13" s="159"/>
      <c r="G13" s="159"/>
    </row>
    <row r="14" spans="1:7" x14ac:dyDescent="0.2">
      <c r="A14" s="159" t="s">
        <v>254</v>
      </c>
      <c r="B14" s="160">
        <f>'Project Data'!AG4*Inputs!B7*'GBFF Pot'!B8</f>
        <v>3672002.5150375939</v>
      </c>
      <c r="C14" s="160"/>
      <c r="D14" s="160"/>
      <c r="E14" s="160"/>
      <c r="F14" s="159"/>
      <c r="G14" s="159"/>
    </row>
    <row r="15" spans="1:7" x14ac:dyDescent="0.2">
      <c r="A15" s="159" t="s">
        <v>255</v>
      </c>
      <c r="B15" s="160">
        <f>'Project Data'!AG6*Inputs!B7*0.094</f>
        <v>0</v>
      </c>
      <c r="C15" s="160"/>
      <c r="D15" s="160"/>
      <c r="E15" s="160"/>
      <c r="F15" s="159"/>
      <c r="G15" s="159"/>
    </row>
    <row r="16" spans="1:7" x14ac:dyDescent="0.2">
      <c r="A16" s="159" t="s">
        <v>256</v>
      </c>
      <c r="B16" s="160">
        <f>'Project Data'!AG7*Inputs!B7*'GBFF Pot'!B8</f>
        <v>647887.3684210527</v>
      </c>
      <c r="C16" s="160"/>
      <c r="D16" s="160"/>
      <c r="E16" s="160"/>
      <c r="F16" s="159"/>
      <c r="G16" s="159"/>
    </row>
    <row r="17" spans="1:7" x14ac:dyDescent="0.2">
      <c r="A17" s="159" t="s">
        <v>257</v>
      </c>
      <c r="B17" s="160">
        <f>'Project Data'!AG8*Inputs!B7*'GBFF Pot'!B8</f>
        <v>26151.954887218046</v>
      </c>
      <c r="C17" s="159"/>
      <c r="D17" s="159"/>
      <c r="E17" s="159"/>
      <c r="F17" s="159"/>
      <c r="G17" s="159"/>
    </row>
    <row r="18" spans="1:7" x14ac:dyDescent="0.2">
      <c r="A18" s="159" t="s">
        <v>258</v>
      </c>
      <c r="B18" s="160">
        <f>('Project Data'!AG9*Inputs!B7*'GBFF Pot'!B8)/3</f>
        <v>169556.0651629073</v>
      </c>
      <c r="C18" s="160"/>
      <c r="D18" s="159"/>
      <c r="E18" s="159"/>
      <c r="F18" s="159"/>
      <c r="G18" s="159"/>
    </row>
    <row r="19" spans="1:7" x14ac:dyDescent="0.2">
      <c r="A19" s="159" t="s">
        <v>259</v>
      </c>
      <c r="B19" s="160">
        <f>('Project Data'!AG9*Inputs!B7*'GBFF Pot'!B8)/3</f>
        <v>169556.0651629073</v>
      </c>
      <c r="C19" s="160"/>
      <c r="D19" s="159"/>
      <c r="E19" s="159"/>
      <c r="F19" s="159"/>
      <c r="G19" s="159"/>
    </row>
    <row r="20" spans="1:7" x14ac:dyDescent="0.2">
      <c r="A20" s="159" t="s">
        <v>260</v>
      </c>
      <c r="B20" s="160">
        <f>('Project Data'!AG9*Inputs!B7*'GBFF Pot'!B8)/3</f>
        <v>169556.0651629073</v>
      </c>
      <c r="C20" s="160"/>
      <c r="D20" s="159"/>
      <c r="E20" s="159"/>
      <c r="F20" s="159"/>
      <c r="G20" s="159"/>
    </row>
    <row r="22" spans="1:7" x14ac:dyDescent="0.2">
      <c r="A22" s="161" t="s">
        <v>262</v>
      </c>
      <c r="B22" s="162">
        <f>'AR25 Results'!J6</f>
        <v>4613661.8571428582</v>
      </c>
      <c r="C22" s="161" t="s">
        <v>252</v>
      </c>
      <c r="D22" s="162">
        <f>B22</f>
        <v>4613661.8571428582</v>
      </c>
      <c r="E22" s="161" t="s">
        <v>252</v>
      </c>
      <c r="F22" s="161"/>
      <c r="G22" s="161"/>
    </row>
    <row r="23" spans="1:7" x14ac:dyDescent="0.2">
      <c r="A23" s="164" t="s">
        <v>253</v>
      </c>
      <c r="B23" s="106">
        <f>('Project Data'!J3-'Project Data'!K3)*'GBFF Pot'!B8*Inputs!B8*Inputs!$B$4</f>
        <v>3660090.4285714291</v>
      </c>
      <c r="C23" s="164"/>
      <c r="D23" s="164"/>
      <c r="E23" s="164"/>
      <c r="F23" s="164"/>
      <c r="G23" s="164"/>
    </row>
    <row r="24" spans="1:7" x14ac:dyDescent="0.2">
      <c r="A24" s="164" t="s">
        <v>254</v>
      </c>
      <c r="B24" s="106">
        <f>('Project Data'!J5-'Project Data'!K5)*'GBFF Pot'!B8*Inputs!B8*Inputs!$B$4</f>
        <v>525000</v>
      </c>
      <c r="C24" s="106"/>
      <c r="D24" s="164"/>
      <c r="E24" s="164"/>
      <c r="F24" s="164"/>
      <c r="G24" s="164"/>
    </row>
    <row r="25" spans="1:7" x14ac:dyDescent="0.2">
      <c r="A25" s="164" t="s">
        <v>255</v>
      </c>
      <c r="B25" s="106">
        <f>('Project Data'!J6-'Project Data'!K6)*Inputs!B7*'GBFF Pot'!B8*Inputs!B8*Inputs!$B$4</f>
        <v>0</v>
      </c>
      <c r="C25" s="164"/>
      <c r="D25" s="164"/>
      <c r="E25" s="164"/>
      <c r="F25" s="164"/>
      <c r="G25" s="164"/>
    </row>
    <row r="26" spans="1:7" x14ac:dyDescent="0.2">
      <c r="A26" s="164" t="s">
        <v>256</v>
      </c>
      <c r="B26" s="106">
        <f>('Project Data'!J7-'Project Data'!K7)*'GBFF Pot'!B8*Inputs!B8*Inputs!$B$4</f>
        <v>428571.42857142858</v>
      </c>
      <c r="C26" s="164"/>
      <c r="D26" s="106"/>
      <c r="E26" s="164"/>
      <c r="F26" s="164"/>
      <c r="G26" s="164"/>
    </row>
    <row r="27" spans="1:7" x14ac:dyDescent="0.2">
      <c r="A27" s="164" t="s">
        <v>257</v>
      </c>
      <c r="B27" s="106">
        <v>0</v>
      </c>
      <c r="C27" s="106"/>
      <c r="D27" s="164"/>
      <c r="E27" s="164"/>
      <c r="F27" s="164"/>
      <c r="G27" s="164"/>
    </row>
    <row r="28" spans="1:7" x14ac:dyDescent="0.2">
      <c r="A28" s="164" t="s">
        <v>258</v>
      </c>
      <c r="B28" s="106">
        <v>0</v>
      </c>
      <c r="C28" s="106"/>
      <c r="D28" s="106"/>
      <c r="E28" s="164"/>
      <c r="F28" s="164"/>
      <c r="G28" s="164"/>
    </row>
    <row r="29" spans="1:7" x14ac:dyDescent="0.2">
      <c r="A29" s="164" t="s">
        <v>259</v>
      </c>
      <c r="B29" s="106">
        <v>0</v>
      </c>
      <c r="C29" s="164"/>
      <c r="D29" s="106"/>
      <c r="E29" s="164"/>
      <c r="F29" s="164"/>
      <c r="G29" s="164"/>
    </row>
    <row r="30" spans="1:7" x14ac:dyDescent="0.2">
      <c r="A30" s="164" t="s">
        <v>260</v>
      </c>
      <c r="B30" s="106">
        <v>0</v>
      </c>
      <c r="C30" s="164"/>
      <c r="D30" s="164"/>
      <c r="E30" s="164"/>
      <c r="F30" s="164"/>
      <c r="G30" s="164"/>
    </row>
    <row r="32" spans="1:7" x14ac:dyDescent="0.2">
      <c r="A32" s="163" t="s">
        <v>263</v>
      </c>
      <c r="B32" s="102">
        <f>'AR25 Results'!J7</f>
        <v>580964.2857142858</v>
      </c>
      <c r="C32" s="163" t="s">
        <v>252</v>
      </c>
      <c r="D32" s="102">
        <f>B32</f>
        <v>580964.2857142858</v>
      </c>
      <c r="E32" s="163" t="s">
        <v>252</v>
      </c>
      <c r="F32" s="163"/>
      <c r="G32" s="163"/>
    </row>
    <row r="33" spans="1:7" x14ac:dyDescent="0.2">
      <c r="A33" s="165" t="s">
        <v>253</v>
      </c>
      <c r="B33" s="103">
        <f>'Project Data'!K3*'GBFF Pot'!B8*Inputs!B8*Inputs!$B$4</f>
        <v>466678.57142857148</v>
      </c>
      <c r="C33" s="165"/>
      <c r="D33" s="165"/>
      <c r="E33" s="165"/>
      <c r="F33" s="165"/>
      <c r="G33" s="165"/>
    </row>
    <row r="34" spans="1:7" x14ac:dyDescent="0.2">
      <c r="A34" s="165" t="s">
        <v>254</v>
      </c>
      <c r="B34" s="103">
        <f>SUM('Project Data'!K4:K5)*'GBFF Pot'!B8*Inputs!B8*Inputs!$B$4</f>
        <v>114285.71428571429</v>
      </c>
      <c r="C34" s="103"/>
      <c r="D34" s="165"/>
      <c r="E34" s="165"/>
      <c r="F34" s="165"/>
      <c r="G34" s="165"/>
    </row>
    <row r="35" spans="1:7" x14ac:dyDescent="0.2">
      <c r="A35" s="165" t="s">
        <v>255</v>
      </c>
      <c r="B35" s="103">
        <f>'Project Data'!K6*Inputs!B7*'GBFF Pot'!B8*Inputs!B8*Inputs!$B$4</f>
        <v>0</v>
      </c>
      <c r="C35" s="165"/>
      <c r="D35" s="165"/>
      <c r="E35" s="165"/>
      <c r="F35" s="165"/>
      <c r="G35" s="165"/>
    </row>
    <row r="36" spans="1:7" x14ac:dyDescent="0.2">
      <c r="A36" s="165" t="s">
        <v>256</v>
      </c>
      <c r="B36" s="103">
        <f>'Project Data'!K7*Inputs!B7*'GBFF Pot'!B8*Inputs!B8*Inputs!$B$4</f>
        <v>0</v>
      </c>
      <c r="C36" s="165"/>
      <c r="D36" s="165"/>
      <c r="E36" s="165"/>
      <c r="F36" s="165"/>
      <c r="G36" s="165"/>
    </row>
    <row r="37" spans="1:7" x14ac:dyDescent="0.2">
      <c r="A37" s="165" t="s">
        <v>257</v>
      </c>
      <c r="B37" s="103">
        <f>'Project Data'!K8*Inputs!B7*'GBFF Pot'!B8*Inputs!B8*Inputs!$B$4</f>
        <v>0</v>
      </c>
      <c r="C37" s="165"/>
      <c r="D37" s="165"/>
      <c r="E37" s="165"/>
      <c r="F37" s="165"/>
      <c r="G37" s="165"/>
    </row>
    <row r="38" spans="1:7" x14ac:dyDescent="0.2">
      <c r="A38" s="165" t="s">
        <v>258</v>
      </c>
      <c r="B38" s="103">
        <f>'Project Data'!K9*Inputs!B7*'GBFF Pot'!B8*Inputs!B8*Inputs!$B$4</f>
        <v>0</v>
      </c>
      <c r="C38" s="165"/>
      <c r="D38" s="165"/>
      <c r="E38" s="165"/>
      <c r="F38" s="165"/>
      <c r="G38" s="165"/>
    </row>
    <row r="39" spans="1:7" x14ac:dyDescent="0.2">
      <c r="A39" s="165" t="s">
        <v>259</v>
      </c>
      <c r="B39" s="103">
        <v>0</v>
      </c>
      <c r="C39" s="103"/>
      <c r="D39" s="165"/>
      <c r="E39" s="165"/>
      <c r="F39" s="165"/>
      <c r="G39" s="165"/>
    </row>
    <row r="40" spans="1:7" x14ac:dyDescent="0.2">
      <c r="A40" s="165" t="s">
        <v>260</v>
      </c>
      <c r="B40" s="103">
        <f>'Project Data'!K11*0.8*0.094*0.5*Inputs!$B$4</f>
        <v>0</v>
      </c>
      <c r="C40" s="165"/>
      <c r="D40" s="165"/>
      <c r="E40" s="165"/>
      <c r="F40" s="165"/>
      <c r="G40" s="165"/>
    </row>
    <row r="42" spans="1:7" x14ac:dyDescent="0.2">
      <c r="A42" s="166" t="s">
        <v>264</v>
      </c>
      <c r="B42" s="100">
        <f>'AR25 Results'!J8</f>
        <v>3165771.1807142855</v>
      </c>
      <c r="C42" s="100">
        <f>Milestones!E7</f>
        <v>3776481.84</v>
      </c>
      <c r="D42" s="100">
        <f>B42</f>
        <v>3165771.1807142855</v>
      </c>
      <c r="E42" s="100">
        <f>C42</f>
        <v>3776481.84</v>
      </c>
      <c r="F42" s="100"/>
      <c r="G42" s="100"/>
    </row>
    <row r="43" spans="1:7" x14ac:dyDescent="0.2">
      <c r="A43" s="167" t="s">
        <v>253</v>
      </c>
      <c r="B43" s="101">
        <f>('Project Data'!P3+'Project Data'!S3+'Project Data'!V3+'Project Data'!AA3+'Project Data'!AF3)*Inputs!B3*'GBFF Pot'!B8*Inputs!B6</f>
        <v>1850512.142142857</v>
      </c>
      <c r="C43" s="167"/>
      <c r="D43" s="167"/>
      <c r="E43" s="167"/>
      <c r="F43" s="167"/>
      <c r="G43" s="167"/>
    </row>
    <row r="44" spans="1:7" x14ac:dyDescent="0.2">
      <c r="A44" s="167" t="s">
        <v>254</v>
      </c>
      <c r="B44" s="101">
        <f>('Project Data'!P4+'Project Data'!S4+'Project Data'!V4+'Project Data'!AA4+'Project Data'!AF4+'Project Data'!P5+'Project Data'!S5+'Project Data'!V5+'Project Data'!AA5+'Project Data'!AF5)*Inputs!B3*'GBFF Pot'!B8*Inputs!B6</f>
        <v>784415.80857142864</v>
      </c>
      <c r="C44" s="167"/>
      <c r="D44" s="167"/>
      <c r="E44" s="167"/>
      <c r="F44" s="167"/>
      <c r="G44" s="167"/>
    </row>
    <row r="45" spans="1:7" x14ac:dyDescent="0.2">
      <c r="A45" s="167" t="s">
        <v>255</v>
      </c>
      <c r="B45" s="101">
        <f>('Project Data'!P6+'Project Data'!S6+'Project Data'!V6+'Project Data'!AA6+'Project Data'!AF6)*Inputs!B3*'GBFF Pot'!B8*Inputs!B6</f>
        <v>81014.285714285725</v>
      </c>
      <c r="C45" s="167"/>
      <c r="D45" s="167"/>
      <c r="E45" s="167"/>
      <c r="F45" s="167"/>
      <c r="G45" s="167"/>
    </row>
    <row r="46" spans="1:7" x14ac:dyDescent="0.2">
      <c r="A46" s="167" t="s">
        <v>256</v>
      </c>
      <c r="B46" s="101">
        <f>('Project Data'!P7+'Project Data'!S7+'Project Data'!V7+'Project Data'!AA7+'Project Data'!AF7)*Inputs!B3*'GBFF Pot'!B8*Inputs!B6</f>
        <v>26000</v>
      </c>
      <c r="C46" s="167"/>
      <c r="D46" s="167"/>
      <c r="E46" s="167"/>
      <c r="F46" s="167"/>
      <c r="G46" s="167"/>
    </row>
    <row r="47" spans="1:7" x14ac:dyDescent="0.2">
      <c r="A47" s="167" t="s">
        <v>257</v>
      </c>
      <c r="B47" s="101">
        <f>('Project Data'!P8+'Project Data'!S8+'Project Data'!V8+'Project Data'!AA8+'Project Data'!AF8)*Inputs!B3*'GBFF Pot'!B8*Inputs!B6</f>
        <v>328523.58714285714</v>
      </c>
      <c r="C47" s="101"/>
      <c r="D47" s="101"/>
      <c r="E47" s="167"/>
      <c r="F47" s="167"/>
      <c r="G47" s="167"/>
    </row>
    <row r="48" spans="1:7" x14ac:dyDescent="0.2">
      <c r="A48" s="167" t="s">
        <v>258</v>
      </c>
      <c r="B48" s="101">
        <f>(('Project Data'!P9+'Project Data'!S9+'Project Data'!V9+'Project Data'!AA9+'Project Data'!AF9)*Inputs!B3*'GBFF Pot'!B8*Inputs!B6)/3</f>
        <v>31768.452380952382</v>
      </c>
      <c r="C48" s="101"/>
      <c r="D48" s="167"/>
      <c r="E48" s="167"/>
      <c r="F48" s="167"/>
      <c r="G48" s="167"/>
    </row>
    <row r="49" spans="1:7" x14ac:dyDescent="0.2">
      <c r="A49" s="167" t="s">
        <v>259</v>
      </c>
      <c r="B49" s="101">
        <f>(('Project Data'!P9+'Project Data'!S9+'Project Data'!V9+'Project Data'!AA9+'Project Data'!AF9)*Inputs!B3*'GBFF Pot'!B8*Inputs!B6)/3</f>
        <v>31768.452380952382</v>
      </c>
      <c r="C49" s="101"/>
      <c r="D49" s="167"/>
      <c r="E49" s="167"/>
      <c r="F49" s="167"/>
      <c r="G49" s="167"/>
    </row>
    <row r="50" spans="1:7" x14ac:dyDescent="0.2">
      <c r="A50" s="167" t="s">
        <v>260</v>
      </c>
      <c r="B50" s="101">
        <f>(('Project Data'!P9+'Project Data'!S9+'Project Data'!V9+'Project Data'!AA9+'Project Data'!AF9)*Inputs!B3*'GBFF Pot'!B8*Inputs!B6)/3</f>
        <v>31768.452380952382</v>
      </c>
      <c r="C50" s="167"/>
      <c r="D50" s="167"/>
      <c r="E50" s="167"/>
      <c r="F50" s="167"/>
      <c r="G50" s="167"/>
    </row>
    <row r="52" spans="1:7" x14ac:dyDescent="0.2">
      <c r="A52" s="168" t="s">
        <v>265</v>
      </c>
      <c r="B52" s="125">
        <v>8</v>
      </c>
      <c r="C52" s="168" t="s">
        <v>252</v>
      </c>
      <c r="D52" s="168">
        <v>8</v>
      </c>
      <c r="E52" s="168" t="s">
        <v>252</v>
      </c>
      <c r="F52" s="168"/>
      <c r="G52" s="168"/>
    </row>
    <row r="53" spans="1:7" x14ac:dyDescent="0.2">
      <c r="A53" s="169" t="s">
        <v>253</v>
      </c>
      <c r="B53" s="170"/>
      <c r="C53" s="169"/>
      <c r="D53" s="169"/>
      <c r="E53" s="169"/>
      <c r="F53" s="169"/>
      <c r="G53" s="169"/>
    </row>
    <row r="54" spans="1:7" x14ac:dyDescent="0.2">
      <c r="A54" s="169" t="s">
        <v>254</v>
      </c>
      <c r="B54" s="170"/>
      <c r="C54" s="169"/>
      <c r="D54" s="169"/>
      <c r="E54" s="169"/>
      <c r="F54" s="169"/>
      <c r="G54" s="169"/>
    </row>
    <row r="55" spans="1:7" x14ac:dyDescent="0.2">
      <c r="A55" s="169" t="s">
        <v>255</v>
      </c>
      <c r="B55" s="170"/>
      <c r="C55" s="169"/>
      <c r="D55" s="169"/>
      <c r="E55" s="169"/>
      <c r="F55" s="169"/>
      <c r="G55" s="169"/>
    </row>
    <row r="56" spans="1:7" x14ac:dyDescent="0.2">
      <c r="A56" s="169" t="s">
        <v>256</v>
      </c>
      <c r="B56" s="170"/>
      <c r="C56" s="169"/>
      <c r="D56" s="169"/>
      <c r="E56" s="169"/>
      <c r="F56" s="169"/>
      <c r="G56" s="169"/>
    </row>
    <row r="57" spans="1:7" x14ac:dyDescent="0.2">
      <c r="A57" s="169" t="s">
        <v>257</v>
      </c>
      <c r="B57" s="170"/>
      <c r="C57" s="169"/>
      <c r="D57" s="169"/>
      <c r="E57" s="169"/>
      <c r="F57" s="169"/>
      <c r="G57" s="169"/>
    </row>
    <row r="58" spans="1:7" x14ac:dyDescent="0.2">
      <c r="A58" s="169" t="s">
        <v>258</v>
      </c>
      <c r="B58" s="170"/>
      <c r="C58" s="169"/>
      <c r="D58" s="169"/>
      <c r="E58" s="169"/>
      <c r="F58" s="169"/>
      <c r="G58" s="169"/>
    </row>
    <row r="59" spans="1:7" x14ac:dyDescent="0.2">
      <c r="A59" s="169" t="s">
        <v>259</v>
      </c>
      <c r="B59" s="170"/>
      <c r="C59" s="169"/>
      <c r="D59" s="169"/>
      <c r="E59" s="169"/>
      <c r="F59" s="169"/>
      <c r="G59" s="169"/>
    </row>
    <row r="60" spans="1:7" x14ac:dyDescent="0.2">
      <c r="A60" s="169" t="s">
        <v>260</v>
      </c>
      <c r="B60" s="170"/>
      <c r="C60" s="169"/>
      <c r="D60" s="169"/>
      <c r="E60" s="169"/>
      <c r="F60" s="169"/>
      <c r="G60" s="169"/>
    </row>
    <row r="62" spans="1:7" x14ac:dyDescent="0.2">
      <c r="A62" s="171" t="s">
        <v>266</v>
      </c>
      <c r="B62" s="172">
        <f>'AR25 Results'!J18</f>
        <v>22876.165413533839</v>
      </c>
      <c r="C62" s="171" t="s">
        <v>252</v>
      </c>
      <c r="D62" s="172">
        <f>B62</f>
        <v>22876.165413533839</v>
      </c>
      <c r="E62" s="171" t="s">
        <v>252</v>
      </c>
      <c r="F62" s="172">
        <f>B62-G62</f>
        <v>11349.398496240605</v>
      </c>
      <c r="G62" s="172">
        <f>SUM(Table1[11.1 of whom women])*Inputs!B3*'GBFF Pot'!B8</f>
        <v>11526.766917293235</v>
      </c>
    </row>
    <row r="63" spans="1:7" x14ac:dyDescent="0.2">
      <c r="A63" s="173" t="s">
        <v>253</v>
      </c>
      <c r="B63" s="174">
        <f>'Project Data'!AO3*Inputs!B3*'GBFF Pot'!B8</f>
        <v>12277.669172932332</v>
      </c>
      <c r="C63" s="173"/>
      <c r="D63" s="173"/>
      <c r="E63" s="173"/>
      <c r="F63" s="173"/>
      <c r="G63" s="173"/>
    </row>
    <row r="64" spans="1:7" x14ac:dyDescent="0.2">
      <c r="A64" s="173" t="s">
        <v>254</v>
      </c>
      <c r="B64" s="174">
        <f>SUM('Project Data'!AO4:AO5)*Inputs!B3*'GBFF Pot'!B8</f>
        <v>4916.541353383459</v>
      </c>
      <c r="C64" s="173"/>
      <c r="D64" s="173"/>
      <c r="E64" s="173"/>
      <c r="F64" s="173"/>
      <c r="G64" s="173"/>
    </row>
    <row r="65" spans="1:7" x14ac:dyDescent="0.2">
      <c r="A65" s="173" t="s">
        <v>255</v>
      </c>
      <c r="B65" s="174">
        <f>'Project Data'!AO6*Inputs!B3*'GBFF Pot'!B8</f>
        <v>503.75939849624064</v>
      </c>
      <c r="C65" s="173"/>
      <c r="D65" s="173"/>
      <c r="E65" s="173"/>
      <c r="F65" s="173"/>
      <c r="G65" s="173"/>
    </row>
    <row r="66" spans="1:7" x14ac:dyDescent="0.2">
      <c r="A66" s="173" t="s">
        <v>256</v>
      </c>
      <c r="B66" s="174">
        <f>'Project Data'!AO7*Inputs!B3*'GBFF Pot'!B8</f>
        <v>3759.3984962406021</v>
      </c>
      <c r="C66" s="174"/>
      <c r="D66" s="173"/>
      <c r="E66" s="173"/>
      <c r="F66" s="173"/>
      <c r="G66" s="173"/>
    </row>
    <row r="67" spans="1:7" x14ac:dyDescent="0.2">
      <c r="A67" s="173" t="s">
        <v>257</v>
      </c>
      <c r="B67" s="174">
        <f>'Project Data'!AO8*Inputs!B3*'GBFF Pot'!B8</f>
        <v>1005.2631578947369</v>
      </c>
      <c r="C67" s="173"/>
      <c r="D67" s="173"/>
      <c r="E67" s="173"/>
      <c r="F67" s="173"/>
      <c r="G67" s="173"/>
    </row>
    <row r="68" spans="1:7" x14ac:dyDescent="0.2">
      <c r="A68" s="173" t="s">
        <v>258</v>
      </c>
      <c r="B68" s="174">
        <f>('Project Data'!AO9*Inputs!B3*'GBFF Pot'!B8)/3</f>
        <v>137.84461152882207</v>
      </c>
      <c r="C68" s="174"/>
      <c r="D68" s="173"/>
      <c r="E68" s="173"/>
      <c r="F68" s="173"/>
      <c r="G68" s="173"/>
    </row>
    <row r="69" spans="1:7" x14ac:dyDescent="0.2">
      <c r="A69" s="173" t="s">
        <v>259</v>
      </c>
      <c r="B69" s="174">
        <f>('Project Data'!AO9*Inputs!B3*'GBFF Pot'!B8)/3</f>
        <v>137.84461152882207</v>
      </c>
      <c r="C69" s="173"/>
      <c r="D69" s="173"/>
      <c r="E69" s="173"/>
      <c r="F69" s="173"/>
      <c r="G69" s="173"/>
    </row>
    <row r="70" spans="1:7" x14ac:dyDescent="0.2">
      <c r="A70" s="173" t="s">
        <v>260</v>
      </c>
      <c r="B70" s="174">
        <f>('Project Data'!AO9*Inputs!B3*'GBFF Pot'!B8)/3</f>
        <v>137.84461152882207</v>
      </c>
      <c r="C70" s="174"/>
      <c r="D70" s="173"/>
      <c r="E70" s="173"/>
      <c r="F70" s="173"/>
      <c r="G70" s="173"/>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F9F21-CCDA-4745-8B8E-2E68973C4C86}">
  <sheetPr>
    <tabColor rgb="FF00B0F0"/>
  </sheetPr>
  <dimension ref="A1:E30"/>
  <sheetViews>
    <sheetView workbookViewId="0"/>
  </sheetViews>
  <sheetFormatPr defaultRowHeight="12.75" x14ac:dyDescent="0.2"/>
  <cols>
    <col min="1" max="1" width="75.7109375" customWidth="1"/>
    <col min="2" max="5" width="11.85546875" style="88" customWidth="1"/>
  </cols>
  <sheetData>
    <row r="1" spans="1:5" ht="25.5" x14ac:dyDescent="0.2">
      <c r="B1" s="181" t="s">
        <v>245</v>
      </c>
      <c r="C1" s="180" t="s">
        <v>246</v>
      </c>
      <c r="D1" s="180" t="s">
        <v>247</v>
      </c>
      <c r="E1" s="180" t="s">
        <v>248</v>
      </c>
    </row>
    <row r="2" spans="1:5" ht="15" x14ac:dyDescent="0.25">
      <c r="A2" s="211" t="s">
        <v>267</v>
      </c>
      <c r="B2" s="212">
        <f>'AR25 Results'!J8</f>
        <v>3165771.1807142855</v>
      </c>
      <c r="C2" s="212">
        <f>Milestones!E7</f>
        <v>3776481.84</v>
      </c>
      <c r="D2" s="212">
        <f>B2</f>
        <v>3165771.1807142855</v>
      </c>
      <c r="E2" s="212">
        <f>Milestones!E7</f>
        <v>3776481.84</v>
      </c>
    </row>
    <row r="3" spans="1:5" ht="15" x14ac:dyDescent="0.25">
      <c r="A3" s="213" t="s">
        <v>253</v>
      </c>
      <c r="B3" s="214">
        <f>('Project Data'!P3+'Project Data'!S3+'Project Data'!V3+'Project Data'!AA3+'Project Data'!AF3)*Inputs!B3*'GBFF Pot'!B8*Inputs!B6</f>
        <v>1850512.142142857</v>
      </c>
      <c r="C3" s="214"/>
      <c r="D3" s="214"/>
      <c r="E3" s="214"/>
    </row>
    <row r="4" spans="1:5" ht="15" x14ac:dyDescent="0.25">
      <c r="A4" s="213" t="s">
        <v>254</v>
      </c>
      <c r="B4" s="214">
        <f>('Project Data'!P4+'Project Data'!S4+'Project Data'!V4+'Project Data'!AA4+'Project Data'!AF4+'Project Data'!P5+'Project Data'!S5+'Project Data'!V5+'Project Data'!AA5+'Project Data'!AF5)*Inputs!B3*'GBFF Pot'!B8*Inputs!B6</f>
        <v>784415.80857142864</v>
      </c>
      <c r="C4" s="214"/>
      <c r="D4" s="214"/>
      <c r="E4" s="214"/>
    </row>
    <row r="5" spans="1:5" ht="15" x14ac:dyDescent="0.25">
      <c r="A5" s="213" t="s">
        <v>255</v>
      </c>
      <c r="B5" s="214">
        <f>('Project Data'!P6+'Project Data'!S6+'Project Data'!V6+'Project Data'!AA6+'Project Data'!AF6)*Inputs!B3*'GBFF Pot'!B8*Inputs!B6</f>
        <v>81014.285714285725</v>
      </c>
      <c r="C5" s="214"/>
      <c r="D5" s="214"/>
      <c r="E5" s="214"/>
    </row>
    <row r="6" spans="1:5" ht="15" x14ac:dyDescent="0.25">
      <c r="A6" s="213" t="s">
        <v>256</v>
      </c>
      <c r="B6" s="214">
        <f>('Project Data'!P7+'Project Data'!S7+'Project Data'!V7+'Project Data'!AA7+'Project Data'!AF7)*Inputs!B3*'GBFF Pot'!B8*Inputs!B6</f>
        <v>26000</v>
      </c>
      <c r="C6" s="214"/>
      <c r="D6" s="214"/>
      <c r="E6" s="214"/>
    </row>
    <row r="7" spans="1:5" ht="15" x14ac:dyDescent="0.25">
      <c r="A7" s="213" t="s">
        <v>257</v>
      </c>
      <c r="B7" s="214">
        <f>('Project Data'!P8+'Project Data'!S8+'Project Data'!V8+'Project Data'!AA8+'Project Data'!AF8)*Inputs!B3*'GBFF Pot'!B8*Inputs!B6</f>
        <v>328523.58714285714</v>
      </c>
      <c r="C7" s="214"/>
      <c r="D7" s="214"/>
      <c r="E7" s="214"/>
    </row>
    <row r="8" spans="1:5" ht="15" x14ac:dyDescent="0.25">
      <c r="A8" s="213" t="s">
        <v>258</v>
      </c>
      <c r="B8" s="214">
        <f>(('Project Data'!P9+'Project Data'!S9+'Project Data'!V9+'Project Data'!AA9+'Project Data'!AF9)*Inputs!B3*'GBFF Pot'!B8*Inputs!B6)/3</f>
        <v>31768.452380952382</v>
      </c>
      <c r="C8" s="214"/>
      <c r="D8" s="214"/>
      <c r="E8" s="214"/>
    </row>
    <row r="9" spans="1:5" ht="15" x14ac:dyDescent="0.25">
      <c r="A9" s="213" t="s">
        <v>259</v>
      </c>
      <c r="B9" s="214">
        <f>(('Project Data'!P9+'Project Data'!S9+'Project Data'!V9+'Project Data'!AA9+'Project Data'!AF9)*Inputs!B3*'GBFF Pot'!B8*Inputs!B6)/3</f>
        <v>31768.452380952382</v>
      </c>
      <c r="C9" s="214"/>
      <c r="D9" s="214"/>
      <c r="E9" s="214"/>
    </row>
    <row r="10" spans="1:5" ht="15" x14ac:dyDescent="0.25">
      <c r="A10" s="213" t="s">
        <v>260</v>
      </c>
      <c r="B10" s="214">
        <f>(('Project Data'!P9+'Project Data'!S9+'Project Data'!V9+'Project Data'!AA9+'Project Data'!AF9)*Inputs!B3*'GBFF Pot'!B8*Inputs!B6)/3</f>
        <v>31768.452380952382</v>
      </c>
      <c r="C10" s="214"/>
      <c r="D10" s="214"/>
      <c r="E10" s="214"/>
    </row>
    <row r="12" spans="1:5" ht="30" x14ac:dyDescent="0.25">
      <c r="A12" s="215" t="s">
        <v>268</v>
      </c>
      <c r="B12" s="216">
        <f>'AR25 Results'!J15</f>
        <v>1127.8195488721806</v>
      </c>
      <c r="C12" s="216"/>
      <c r="D12" s="216"/>
      <c r="E12" s="216"/>
    </row>
    <row r="13" spans="1:5" ht="15" x14ac:dyDescent="0.25">
      <c r="A13" s="217" t="s">
        <v>253</v>
      </c>
      <c r="B13" s="218">
        <v>0</v>
      </c>
      <c r="C13" s="218"/>
      <c r="D13" s="218"/>
      <c r="E13" s="218"/>
    </row>
    <row r="14" spans="1:5" ht="15" x14ac:dyDescent="0.25">
      <c r="A14" s="217" t="s">
        <v>254</v>
      </c>
      <c r="B14" s="218">
        <v>0</v>
      </c>
      <c r="C14" s="218"/>
      <c r="D14" s="218"/>
      <c r="E14" s="218"/>
    </row>
    <row r="15" spans="1:5" ht="15" x14ac:dyDescent="0.25">
      <c r="A15" s="217" t="s">
        <v>255</v>
      </c>
      <c r="B15" s="218">
        <v>0</v>
      </c>
      <c r="C15" s="218"/>
      <c r="D15" s="218"/>
      <c r="E15" s="218"/>
    </row>
    <row r="16" spans="1:5" ht="15" x14ac:dyDescent="0.25">
      <c r="A16" s="217" t="s">
        <v>256</v>
      </c>
      <c r="B16" s="218">
        <f>'Project Data'!V7*Inputs!B3*'GBFF Pot'!B8</f>
        <v>1052.6315789473686</v>
      </c>
      <c r="C16" s="218"/>
      <c r="D16" s="218"/>
      <c r="E16" s="218"/>
    </row>
    <row r="17" spans="1:5" ht="15" x14ac:dyDescent="0.25">
      <c r="A17" s="217" t="s">
        <v>257</v>
      </c>
      <c r="B17" s="218">
        <f>'Project Data'!V8*Inputs!B3*'GBFF Pot'!B8</f>
        <v>75.187969924812037</v>
      </c>
      <c r="C17" s="218"/>
      <c r="D17" s="218"/>
      <c r="E17" s="218"/>
    </row>
    <row r="18" spans="1:5" ht="15" x14ac:dyDescent="0.25">
      <c r="A18" s="217" t="s">
        <v>258</v>
      </c>
      <c r="B18" s="218"/>
      <c r="C18" s="218"/>
      <c r="D18" s="218"/>
      <c r="E18" s="218"/>
    </row>
    <row r="19" spans="1:5" ht="15" x14ac:dyDescent="0.25">
      <c r="A19" s="217" t="s">
        <v>259</v>
      </c>
      <c r="B19" s="218"/>
      <c r="C19" s="218"/>
      <c r="D19" s="218"/>
      <c r="E19" s="218"/>
    </row>
    <row r="20" spans="1:5" ht="15" x14ac:dyDescent="0.25">
      <c r="A20" s="217" t="s">
        <v>260</v>
      </c>
      <c r="B20" s="218"/>
      <c r="C20" s="218"/>
      <c r="D20" s="218"/>
      <c r="E20" s="218"/>
    </row>
    <row r="22" spans="1:5" ht="30" x14ac:dyDescent="0.25">
      <c r="A22" s="219" t="s">
        <v>269</v>
      </c>
      <c r="B22" s="220"/>
      <c r="C22" s="220"/>
      <c r="D22" s="220"/>
      <c r="E22" s="220"/>
    </row>
    <row r="23" spans="1:5" ht="15" x14ac:dyDescent="0.25">
      <c r="A23" s="221" t="s">
        <v>253</v>
      </c>
      <c r="B23" s="222"/>
      <c r="C23" s="222"/>
      <c r="D23" s="222"/>
      <c r="E23" s="222"/>
    </row>
    <row r="24" spans="1:5" ht="15" x14ac:dyDescent="0.25">
      <c r="A24" s="221" t="s">
        <v>254</v>
      </c>
      <c r="B24" s="222"/>
      <c r="C24" s="222"/>
      <c r="D24" s="222"/>
      <c r="E24" s="222"/>
    </row>
    <row r="25" spans="1:5" ht="15" x14ac:dyDescent="0.25">
      <c r="A25" s="221" t="s">
        <v>255</v>
      </c>
      <c r="B25" s="222"/>
      <c r="C25" s="222"/>
      <c r="D25" s="222"/>
      <c r="E25" s="222"/>
    </row>
    <row r="26" spans="1:5" ht="15" x14ac:dyDescent="0.25">
      <c r="A26" s="221" t="s">
        <v>256</v>
      </c>
      <c r="B26" s="222"/>
      <c r="C26" s="222"/>
      <c r="D26" s="222"/>
      <c r="E26" s="222"/>
    </row>
    <row r="27" spans="1:5" ht="15" x14ac:dyDescent="0.25">
      <c r="A27" s="221" t="s">
        <v>257</v>
      </c>
      <c r="B27" s="222"/>
      <c r="C27" s="222"/>
      <c r="D27" s="222"/>
      <c r="E27" s="222"/>
    </row>
    <row r="28" spans="1:5" ht="15" x14ac:dyDescent="0.25">
      <c r="A28" s="221" t="s">
        <v>258</v>
      </c>
      <c r="B28" s="222"/>
      <c r="C28" s="222"/>
      <c r="D28" s="222"/>
      <c r="E28" s="222"/>
    </row>
    <row r="29" spans="1:5" ht="15" x14ac:dyDescent="0.25">
      <c r="A29" s="221" t="s">
        <v>259</v>
      </c>
      <c r="B29" s="222"/>
      <c r="C29" s="222"/>
      <c r="D29" s="222"/>
      <c r="E29" s="222"/>
    </row>
    <row r="30" spans="1:5" ht="15" x14ac:dyDescent="0.25">
      <c r="A30" s="221" t="s">
        <v>260</v>
      </c>
      <c r="B30" s="222"/>
      <c r="C30" s="222"/>
      <c r="D30" s="222"/>
      <c r="E30" s="22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22E4F-0101-4AF2-965C-E9A547ED472F}">
  <sheetPr>
    <tabColor rgb="FF92D050"/>
  </sheetPr>
  <dimension ref="A1:C8"/>
  <sheetViews>
    <sheetView workbookViewId="0">
      <selection activeCell="B7" sqref="B7"/>
    </sheetView>
  </sheetViews>
  <sheetFormatPr defaultRowHeight="12.75" x14ac:dyDescent="0.2"/>
  <cols>
    <col min="1" max="1" width="34.140625" customWidth="1"/>
    <col min="3" max="3" width="122.28515625" customWidth="1"/>
  </cols>
  <sheetData>
    <row r="1" spans="1:3" x14ac:dyDescent="0.2">
      <c r="A1" s="87" t="s">
        <v>3</v>
      </c>
    </row>
    <row r="2" spans="1:3" x14ac:dyDescent="0.2">
      <c r="A2" s="87" t="s">
        <v>4</v>
      </c>
      <c r="B2" s="87" t="s">
        <v>5</v>
      </c>
      <c r="C2" s="87" t="s">
        <v>6</v>
      </c>
    </row>
    <row r="3" spans="1:3" x14ac:dyDescent="0.2">
      <c r="A3" s="1" t="s">
        <v>7</v>
      </c>
      <c r="B3" s="67">
        <v>0.8</v>
      </c>
      <c r="C3" t="s">
        <v>8</v>
      </c>
    </row>
    <row r="4" spans="1:3" x14ac:dyDescent="0.2">
      <c r="A4" s="1" t="s">
        <v>9</v>
      </c>
      <c r="B4">
        <v>0.76</v>
      </c>
    </row>
    <row r="5" spans="1:3" x14ac:dyDescent="0.2">
      <c r="A5" s="1" t="s">
        <v>10</v>
      </c>
      <c r="B5" s="90">
        <v>1.3157894736842106</v>
      </c>
    </row>
    <row r="6" spans="1:3" x14ac:dyDescent="0.2">
      <c r="A6" s="1" t="s">
        <v>11</v>
      </c>
      <c r="B6" s="67">
        <v>0.95</v>
      </c>
      <c r="C6" s="1" t="s">
        <v>12</v>
      </c>
    </row>
    <row r="7" spans="1:3" x14ac:dyDescent="0.2">
      <c r="A7" s="2" t="s">
        <v>13</v>
      </c>
      <c r="B7" s="67">
        <v>0.8</v>
      </c>
      <c r="C7" t="s">
        <v>14</v>
      </c>
    </row>
    <row r="8" spans="1:3" ht="25.5" x14ac:dyDescent="0.2">
      <c r="A8" s="2" t="s">
        <v>15</v>
      </c>
      <c r="B8" s="67">
        <v>0.5</v>
      </c>
      <c r="C8" s="1" t="s">
        <v>16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CDB3FB-80ED-456F-A2A8-53C0C77336AE}">
  <sheetPr>
    <tabColor rgb="FF92D050"/>
  </sheetPr>
  <dimension ref="A1:H19"/>
  <sheetViews>
    <sheetView workbookViewId="0">
      <selection activeCell="B11" sqref="B11"/>
    </sheetView>
  </sheetViews>
  <sheetFormatPr defaultRowHeight="12.75" x14ac:dyDescent="0.2"/>
  <cols>
    <col min="1" max="1" width="34" customWidth="1"/>
    <col min="2" max="5" width="15.28515625" bestFit="1" customWidth="1"/>
    <col min="6" max="6" width="16.28515625" bestFit="1" customWidth="1"/>
  </cols>
  <sheetData>
    <row r="1" spans="1:8" x14ac:dyDescent="0.2">
      <c r="A1" s="87" t="s">
        <v>17</v>
      </c>
    </row>
    <row r="2" spans="1:8" x14ac:dyDescent="0.2">
      <c r="B2" s="87" t="s">
        <v>18</v>
      </c>
      <c r="C2" s="87" t="s">
        <v>19</v>
      </c>
      <c r="D2" s="87" t="s">
        <v>20</v>
      </c>
      <c r="E2" s="87" t="s">
        <v>21</v>
      </c>
      <c r="F2" s="87" t="s">
        <v>22</v>
      </c>
      <c r="H2" s="179"/>
    </row>
    <row r="3" spans="1:8" x14ac:dyDescent="0.2">
      <c r="A3" s="87" t="s">
        <v>23</v>
      </c>
      <c r="B3" s="142">
        <v>10000000</v>
      </c>
      <c r="C3" s="142">
        <v>10000000</v>
      </c>
      <c r="D3" s="142">
        <v>40000000</v>
      </c>
      <c r="E3" s="142">
        <v>40000000</v>
      </c>
      <c r="F3" s="142">
        <f>SUM(B3:E3)</f>
        <v>100000000</v>
      </c>
    </row>
    <row r="4" spans="1:8" x14ac:dyDescent="0.2">
      <c r="A4" s="87" t="s">
        <v>24</v>
      </c>
      <c r="B4" s="142">
        <f>B3</f>
        <v>10000000</v>
      </c>
      <c r="C4" s="142">
        <f>C3+B4</f>
        <v>20000000</v>
      </c>
      <c r="D4" s="142">
        <f>D3+C4</f>
        <v>60000000</v>
      </c>
      <c r="E4" s="142">
        <f>E3+D4</f>
        <v>100000000</v>
      </c>
      <c r="F4" s="142"/>
    </row>
    <row r="5" spans="1:8" x14ac:dyDescent="0.2">
      <c r="A5" s="87" t="s">
        <v>25</v>
      </c>
      <c r="B5">
        <f>B4/$F$3</f>
        <v>0.1</v>
      </c>
      <c r="C5">
        <f>C4/$F$3</f>
        <v>0.2</v>
      </c>
      <c r="D5">
        <f>D4/$F$3</f>
        <v>0.6</v>
      </c>
      <c r="E5">
        <f>E4/$F$3</f>
        <v>1</v>
      </c>
    </row>
    <row r="6" spans="1:8" x14ac:dyDescent="0.2">
      <c r="A6" s="87"/>
    </row>
    <row r="7" spans="1:8" x14ac:dyDescent="0.2">
      <c r="A7" s="87" t="s">
        <v>26</v>
      </c>
    </row>
    <row r="8" spans="1:8" x14ac:dyDescent="0.2">
      <c r="A8" s="87"/>
      <c r="B8" s="87" t="s">
        <v>18</v>
      </c>
      <c r="C8" s="87" t="s">
        <v>19</v>
      </c>
      <c r="D8" s="87" t="s">
        <v>20</v>
      </c>
      <c r="E8" s="87" t="s">
        <v>21</v>
      </c>
    </row>
    <row r="9" spans="1:8" x14ac:dyDescent="0.2">
      <c r="A9" s="87" t="s">
        <v>27</v>
      </c>
      <c r="B9" s="142">
        <v>15000000</v>
      </c>
      <c r="C9" s="142">
        <v>32500000</v>
      </c>
      <c r="D9" s="142">
        <v>7500000</v>
      </c>
      <c r="E9" s="142">
        <v>0</v>
      </c>
    </row>
    <row r="10" spans="1:8" x14ac:dyDescent="0.2">
      <c r="A10" s="87" t="s">
        <v>28</v>
      </c>
      <c r="B10" s="142">
        <f>B9</f>
        <v>15000000</v>
      </c>
      <c r="C10" s="142">
        <f>C9+B10</f>
        <v>47500000</v>
      </c>
      <c r="D10" s="142">
        <f t="shared" ref="D10:E10" si="0">D9+C10</f>
        <v>55000000</v>
      </c>
      <c r="E10" s="142">
        <f t="shared" si="0"/>
        <v>55000000</v>
      </c>
    </row>
    <row r="11" spans="1:8" x14ac:dyDescent="0.2">
      <c r="A11" s="145" t="s">
        <v>29</v>
      </c>
      <c r="B11">
        <f>B10/$F$3</f>
        <v>0.15</v>
      </c>
      <c r="C11">
        <f>C10/$F$3</f>
        <v>0.47499999999999998</v>
      </c>
      <c r="D11">
        <f>D10/$F$3</f>
        <v>0.55000000000000004</v>
      </c>
      <c r="E11">
        <f>E10/$F$3</f>
        <v>0.55000000000000004</v>
      </c>
    </row>
    <row r="13" spans="1:8" ht="96" customHeight="1" x14ac:dyDescent="0.2">
      <c r="A13" s="224" t="s">
        <v>30</v>
      </c>
      <c r="B13" s="224"/>
      <c r="C13" s="224"/>
      <c r="D13" s="224"/>
      <c r="E13" s="224"/>
      <c r="F13" s="224"/>
    </row>
    <row r="14" spans="1:8" ht="17.25" customHeight="1" x14ac:dyDescent="0.2">
      <c r="A14" s="224"/>
      <c r="B14" s="224"/>
      <c r="C14" s="224"/>
      <c r="D14" s="224"/>
      <c r="E14" s="224"/>
      <c r="F14" s="224"/>
    </row>
    <row r="17" spans="1:4" x14ac:dyDescent="0.2">
      <c r="B17" s="87"/>
      <c r="C17" s="87"/>
      <c r="D17" s="87"/>
    </row>
    <row r="18" spans="1:4" x14ac:dyDescent="0.2">
      <c r="A18" s="87"/>
      <c r="B18" s="142"/>
      <c r="C18" s="142"/>
      <c r="D18" s="142"/>
    </row>
    <row r="19" spans="1:4" x14ac:dyDescent="0.2">
      <c r="A19" s="87"/>
      <c r="B19" s="142"/>
      <c r="C19" s="142"/>
      <c r="D19" s="142"/>
    </row>
  </sheetData>
  <mergeCells count="2">
    <mergeCell ref="A13:F13"/>
    <mergeCell ref="A14:F1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64224-4CBF-4A66-803A-E7C9FDFCA7F9}">
  <sheetPr>
    <tabColor rgb="FF92D050"/>
  </sheetPr>
  <dimension ref="A1:F10"/>
  <sheetViews>
    <sheetView workbookViewId="0">
      <selection activeCell="B41" sqref="B41"/>
    </sheetView>
  </sheetViews>
  <sheetFormatPr defaultRowHeight="12.75" x14ac:dyDescent="0.2"/>
  <cols>
    <col min="1" max="1" width="34.5703125" customWidth="1"/>
    <col min="2" max="4" width="16.28515625" customWidth="1"/>
  </cols>
  <sheetData>
    <row r="1" spans="1:6" x14ac:dyDescent="0.2">
      <c r="A1" s="151" t="s">
        <v>31</v>
      </c>
    </row>
    <row r="2" spans="1:6" x14ac:dyDescent="0.2">
      <c r="A2" s="64"/>
      <c r="B2" s="64" t="s">
        <v>32</v>
      </c>
      <c r="C2" s="64" t="s">
        <v>19</v>
      </c>
      <c r="D2" s="87" t="s">
        <v>20</v>
      </c>
    </row>
    <row r="3" spans="1:6" x14ac:dyDescent="0.2">
      <c r="A3" s="64" t="s">
        <v>33</v>
      </c>
      <c r="B3" s="142">
        <v>15000000</v>
      </c>
      <c r="C3" s="142">
        <v>32500000</v>
      </c>
      <c r="D3" s="142"/>
    </row>
    <row r="4" spans="1:6" x14ac:dyDescent="0.2">
      <c r="A4" s="64" t="s">
        <v>34</v>
      </c>
      <c r="B4" s="143">
        <f>B3*Inputs!$B$5</f>
        <v>19736842.105263159</v>
      </c>
      <c r="C4" s="143">
        <f>C3*Inputs!$B$5</f>
        <v>42763157.894736849</v>
      </c>
      <c r="D4" s="143">
        <f>D3*Inputs!$B$5</f>
        <v>0</v>
      </c>
    </row>
    <row r="5" spans="1:6" x14ac:dyDescent="0.2">
      <c r="A5" s="64" t="s">
        <v>35</v>
      </c>
      <c r="B5" s="144">
        <f>B3</f>
        <v>15000000</v>
      </c>
      <c r="C5" s="144">
        <f>C3+B5</f>
        <v>47500000</v>
      </c>
      <c r="D5" s="144">
        <f>D3+C5</f>
        <v>47500000</v>
      </c>
    </row>
    <row r="6" spans="1:6" x14ac:dyDescent="0.2">
      <c r="A6" s="64" t="s">
        <v>36</v>
      </c>
      <c r="B6" s="143">
        <f>B4</f>
        <v>19736842.105263159</v>
      </c>
      <c r="C6" s="143">
        <f>C4+B6</f>
        <v>62500000.000000007</v>
      </c>
      <c r="D6" s="143">
        <f>D4+C6</f>
        <v>62500000.000000007</v>
      </c>
    </row>
    <row r="7" spans="1:6" x14ac:dyDescent="0.2">
      <c r="A7" s="64" t="s">
        <v>37</v>
      </c>
      <c r="B7" s="143">
        <v>210000000</v>
      </c>
      <c r="C7" s="143">
        <v>386000000</v>
      </c>
      <c r="D7" s="143"/>
      <c r="F7" s="179"/>
    </row>
    <row r="8" spans="1:6" x14ac:dyDescent="0.2">
      <c r="A8" s="87" t="s">
        <v>38</v>
      </c>
      <c r="B8" s="68">
        <f>B6/B7</f>
        <v>9.3984962406015046E-2</v>
      </c>
      <c r="C8" s="68">
        <f>C6/C7</f>
        <v>0.16191709844559588</v>
      </c>
      <c r="D8" s="68" t="e">
        <f>D6/D7</f>
        <v>#DIV/0!</v>
      </c>
    </row>
    <row r="9" spans="1:6" x14ac:dyDescent="0.2">
      <c r="B9" s="67"/>
      <c r="C9" s="67"/>
    </row>
    <row r="10" spans="1:6" ht="26.25" customHeight="1" x14ac:dyDescent="0.2">
      <c r="A10" s="224" t="s">
        <v>39</v>
      </c>
      <c r="B10" s="224"/>
      <c r="C10" s="224"/>
      <c r="D10" s="224"/>
    </row>
  </sheetData>
  <mergeCells count="1">
    <mergeCell ref="A10:D10"/>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3C17F-FE55-4AD1-A6F3-D330981C42FF}">
  <sheetPr>
    <tabColor rgb="FF92D050"/>
  </sheetPr>
  <dimension ref="A1:AR14"/>
  <sheetViews>
    <sheetView workbookViewId="0">
      <pane xSplit="2" topLeftCell="C1" activePane="topRight" state="frozen"/>
      <selection pane="topRight" activeCell="B19" sqref="B19"/>
    </sheetView>
  </sheetViews>
  <sheetFormatPr defaultRowHeight="12.75" x14ac:dyDescent="0.2"/>
  <cols>
    <col min="1" max="1" width="59.7109375" customWidth="1"/>
    <col min="2" max="2" width="22.140625" customWidth="1"/>
    <col min="3" max="3" width="11.28515625" customWidth="1"/>
    <col min="4" max="4" width="13.5703125" customWidth="1"/>
    <col min="5" max="13" width="14.28515625" style="91" customWidth="1"/>
    <col min="14" max="14" width="9.85546875" style="67" customWidth="1"/>
    <col min="15" max="15" width="12.5703125" style="67" customWidth="1"/>
    <col min="16" max="29" width="29.140625" style="93" customWidth="1"/>
    <col min="30" max="38" width="29.140625" style="88" customWidth="1"/>
    <col min="39" max="39" width="26.85546875" style="88" customWidth="1"/>
    <col min="40" max="40" width="29.140625" style="88" customWidth="1"/>
    <col min="41" max="41" width="23.5703125" style="88" customWidth="1"/>
    <col min="42" max="42" width="23.42578125" style="88" customWidth="1"/>
    <col min="43" max="44" width="21.28515625" style="88" customWidth="1"/>
    <col min="45" max="45" width="21.28515625" customWidth="1"/>
    <col min="46" max="46" width="17.85546875" customWidth="1"/>
  </cols>
  <sheetData>
    <row r="1" spans="1:44" x14ac:dyDescent="0.2">
      <c r="A1" s="87" t="s">
        <v>40</v>
      </c>
    </row>
    <row r="2" spans="1:44" s="120" customFormat="1" ht="27.75" customHeight="1" x14ac:dyDescent="0.2">
      <c r="A2" s="110" t="s">
        <v>41</v>
      </c>
      <c r="B2" s="110" t="s">
        <v>42</v>
      </c>
      <c r="C2" s="110" t="s">
        <v>43</v>
      </c>
      <c r="D2" s="110" t="s">
        <v>44</v>
      </c>
      <c r="E2" s="111" t="s">
        <v>45</v>
      </c>
      <c r="F2" s="111" t="s">
        <v>46</v>
      </c>
      <c r="G2" s="111" t="s">
        <v>47</v>
      </c>
      <c r="H2" s="111" t="s">
        <v>48</v>
      </c>
      <c r="I2" s="111" t="s">
        <v>49</v>
      </c>
      <c r="J2" s="111" t="s">
        <v>50</v>
      </c>
      <c r="K2" s="111" t="s">
        <v>51</v>
      </c>
      <c r="L2" s="111" t="s">
        <v>52</v>
      </c>
      <c r="M2" s="111" t="s">
        <v>53</v>
      </c>
      <c r="N2" s="112" t="s">
        <v>54</v>
      </c>
      <c r="O2" s="112" t="s">
        <v>55</v>
      </c>
      <c r="P2" s="113" t="s">
        <v>56</v>
      </c>
      <c r="Q2" s="113" t="s">
        <v>57</v>
      </c>
      <c r="R2" s="113" t="s">
        <v>58</v>
      </c>
      <c r="S2" s="114" t="s">
        <v>59</v>
      </c>
      <c r="T2" s="114" t="s">
        <v>60</v>
      </c>
      <c r="U2" s="114" t="s">
        <v>61</v>
      </c>
      <c r="V2" s="115" t="s">
        <v>62</v>
      </c>
      <c r="W2" s="115" t="s">
        <v>63</v>
      </c>
      <c r="X2" s="115" t="s">
        <v>64</v>
      </c>
      <c r="Y2" s="115" t="s">
        <v>65</v>
      </c>
      <c r="Z2" s="115" t="s">
        <v>66</v>
      </c>
      <c r="AA2" s="116" t="s">
        <v>67</v>
      </c>
      <c r="AB2" s="116" t="s">
        <v>68</v>
      </c>
      <c r="AC2" s="116" t="s">
        <v>69</v>
      </c>
      <c r="AD2" s="116" t="s">
        <v>70</v>
      </c>
      <c r="AE2" s="116" t="s">
        <v>71</v>
      </c>
      <c r="AF2" s="124" t="s">
        <v>72</v>
      </c>
      <c r="AG2" s="117" t="s">
        <v>73</v>
      </c>
      <c r="AH2" s="117" t="s">
        <v>74</v>
      </c>
      <c r="AI2" s="117" t="s">
        <v>75</v>
      </c>
      <c r="AJ2" s="117" t="s">
        <v>76</v>
      </c>
      <c r="AK2" s="117" t="s">
        <v>77</v>
      </c>
      <c r="AL2" s="117" t="s">
        <v>78</v>
      </c>
      <c r="AM2" s="117" t="s">
        <v>79</v>
      </c>
      <c r="AN2" s="117" t="s">
        <v>80</v>
      </c>
      <c r="AO2" s="118" t="s">
        <v>81</v>
      </c>
      <c r="AP2" s="118" t="s">
        <v>82</v>
      </c>
      <c r="AQ2" s="119"/>
      <c r="AR2" s="119"/>
    </row>
    <row r="3" spans="1:44" x14ac:dyDescent="0.2">
      <c r="A3" s="107" t="s">
        <v>83</v>
      </c>
      <c r="B3" s="187" t="s">
        <v>84</v>
      </c>
      <c r="C3" s="107">
        <v>0</v>
      </c>
      <c r="D3" s="107">
        <v>2024</v>
      </c>
      <c r="E3" s="108">
        <v>16672477</v>
      </c>
      <c r="F3" s="108">
        <v>1500523</v>
      </c>
      <c r="G3" s="108">
        <v>300000</v>
      </c>
      <c r="H3" s="108">
        <v>27000</v>
      </c>
      <c r="I3" s="108">
        <f>SUM(E3:H3)</f>
        <v>18500000</v>
      </c>
      <c r="J3" s="108">
        <v>115549532</v>
      </c>
      <c r="K3" s="108">
        <v>13067000</v>
      </c>
      <c r="L3" s="108">
        <f>Table1[[#This Row],[Cofinancing]]-Table1[[#This Row],[Of which private]]</f>
        <v>102482532</v>
      </c>
      <c r="M3" s="108">
        <v>12146999</v>
      </c>
      <c r="N3" s="109">
        <f>Table1[[#This Row],[IPLC Finance]]/Table1[[#This Row],[Grant Cost (USD)]]</f>
        <v>0.72856594733943858</v>
      </c>
      <c r="O3" s="108">
        <f>Table1[[#This Row],[Grant Cost (USD)]]*Table1[[#This Row],[SIDS/LDC]]</f>
        <v>0</v>
      </c>
      <c r="P3" s="94">
        <v>3665666.04</v>
      </c>
      <c r="Q3" s="95">
        <v>0</v>
      </c>
      <c r="R3" s="95">
        <v>3665666</v>
      </c>
      <c r="S3" s="96">
        <v>22241503.949999999</v>
      </c>
      <c r="T3" s="97">
        <v>0</v>
      </c>
      <c r="U3" s="97">
        <v>22241503.989999998</v>
      </c>
      <c r="V3" s="98">
        <v>0</v>
      </c>
      <c r="W3" s="99">
        <v>0</v>
      </c>
      <c r="X3" s="99">
        <v>0</v>
      </c>
      <c r="Y3" s="99">
        <v>0</v>
      </c>
      <c r="Z3" s="99">
        <v>0</v>
      </c>
      <c r="AA3" s="104">
        <v>0</v>
      </c>
      <c r="AB3" s="105">
        <v>0</v>
      </c>
      <c r="AC3" s="105">
        <v>0</v>
      </c>
      <c r="AD3" s="106">
        <v>0</v>
      </c>
      <c r="AE3" s="106">
        <v>0</v>
      </c>
      <c r="AF3" s="125">
        <v>0</v>
      </c>
      <c r="AG3" s="102">
        <f t="shared" ref="AG3:AG9" si="0">SUM(AH3:AI3)</f>
        <v>5700000</v>
      </c>
      <c r="AH3" s="102">
        <v>5700000</v>
      </c>
      <c r="AI3" s="102">
        <v>0</v>
      </c>
      <c r="AJ3" s="103">
        <v>5700000</v>
      </c>
      <c r="AK3" s="103">
        <v>0</v>
      </c>
      <c r="AL3" s="103">
        <v>0</v>
      </c>
      <c r="AM3" s="103">
        <v>0</v>
      </c>
      <c r="AN3" s="103">
        <v>0</v>
      </c>
      <c r="AO3" s="100">
        <v>163293</v>
      </c>
      <c r="AP3" s="101">
        <v>83000</v>
      </c>
    </row>
    <row r="4" spans="1:44" x14ac:dyDescent="0.2">
      <c r="A4" s="107" t="s">
        <v>85</v>
      </c>
      <c r="B4" s="187" t="s">
        <v>86</v>
      </c>
      <c r="C4" s="107">
        <v>0</v>
      </c>
      <c r="D4" s="107">
        <v>2024</v>
      </c>
      <c r="E4" s="108">
        <v>8964220</v>
      </c>
      <c r="F4" s="108">
        <v>806780</v>
      </c>
      <c r="G4" s="108">
        <v>100000</v>
      </c>
      <c r="H4" s="108">
        <v>9000</v>
      </c>
      <c r="I4" s="108">
        <f t="shared" ref="I4:I9" si="1">SUM(E4:H4)</f>
        <v>9880000</v>
      </c>
      <c r="J4" s="108">
        <v>0</v>
      </c>
      <c r="K4" s="108">
        <v>0</v>
      </c>
      <c r="L4" s="108">
        <f>Table1[[#This Row],[Cofinancing]]-Table1[[#This Row],[Of which private]]</f>
        <v>0</v>
      </c>
      <c r="M4" s="108">
        <v>732155</v>
      </c>
      <c r="N4" s="109">
        <f>Table1[[#This Row],[IPLC Finance]]/Table1[[#This Row],[Grant Cost (USD)]]</f>
        <v>8.1675260089556029E-2</v>
      </c>
      <c r="O4" s="108">
        <f>Table1[[#This Row],[Grant Cost (USD)]]*Table1[[#This Row],[SIDS/LDC]]</f>
        <v>0</v>
      </c>
      <c r="P4" s="94">
        <v>4581821.32</v>
      </c>
      <c r="Q4" s="95">
        <v>100000</v>
      </c>
      <c r="R4" s="95">
        <v>4581821.32</v>
      </c>
      <c r="S4" s="96">
        <v>0</v>
      </c>
      <c r="T4" s="97">
        <v>0</v>
      </c>
      <c r="U4" s="97">
        <v>0</v>
      </c>
      <c r="V4" s="98">
        <v>0</v>
      </c>
      <c r="W4" s="99">
        <v>0</v>
      </c>
      <c r="X4" s="99">
        <v>0</v>
      </c>
      <c r="Y4" s="99">
        <v>0</v>
      </c>
      <c r="Z4" s="99">
        <v>0</v>
      </c>
      <c r="AA4" s="104">
        <v>0</v>
      </c>
      <c r="AB4" s="105">
        <v>0</v>
      </c>
      <c r="AC4" s="105">
        <v>0</v>
      </c>
      <c r="AD4" s="106">
        <v>0</v>
      </c>
      <c r="AE4" s="106">
        <v>0</v>
      </c>
      <c r="AF4" s="125">
        <v>0</v>
      </c>
      <c r="AG4" s="102">
        <f t="shared" si="0"/>
        <v>48837633.449999996</v>
      </c>
      <c r="AH4" s="102">
        <v>4186082.87</v>
      </c>
      <c r="AI4" s="102">
        <v>44651550.579999998</v>
      </c>
      <c r="AJ4" s="103">
        <v>4186082.87</v>
      </c>
      <c r="AK4" s="103">
        <v>44651550.579999998</v>
      </c>
      <c r="AL4" s="103">
        <v>0</v>
      </c>
      <c r="AM4" s="103">
        <v>0</v>
      </c>
      <c r="AN4" s="103">
        <v>0</v>
      </c>
      <c r="AO4" s="100">
        <v>4390</v>
      </c>
      <c r="AP4" s="101">
        <v>2791</v>
      </c>
    </row>
    <row r="5" spans="1:44" x14ac:dyDescent="0.2">
      <c r="A5" s="107" t="s">
        <v>87</v>
      </c>
      <c r="B5" s="187" t="s">
        <v>86</v>
      </c>
      <c r="C5" s="107">
        <v>0</v>
      </c>
      <c r="D5" s="107">
        <v>2024</v>
      </c>
      <c r="E5" s="108">
        <v>9064221</v>
      </c>
      <c r="F5" s="108">
        <v>815779</v>
      </c>
      <c r="G5" s="108">
        <v>0</v>
      </c>
      <c r="H5" s="108">
        <v>0</v>
      </c>
      <c r="I5" s="108">
        <f t="shared" si="1"/>
        <v>9880000</v>
      </c>
      <c r="J5" s="108">
        <v>17900000</v>
      </c>
      <c r="K5" s="108">
        <v>3200000</v>
      </c>
      <c r="L5" s="108">
        <f>Table1[[#This Row],[Cofinancing]]-Table1[[#This Row],[Of which private]]</f>
        <v>14700000</v>
      </c>
      <c r="M5" s="108">
        <v>8632592</v>
      </c>
      <c r="N5" s="109">
        <f>Table1[[#This Row],[IPLC Finance]]/Table1[[#This Row],[Grant Cost (USD)]]</f>
        <v>0.95238101542316767</v>
      </c>
      <c r="O5" s="108">
        <f>Table1[[#This Row],[Grant Cost (USD)]]*Table1[[#This Row],[SIDS/LDC]]</f>
        <v>0</v>
      </c>
      <c r="P5" s="94">
        <v>0</v>
      </c>
      <c r="Q5" s="95">
        <v>0</v>
      </c>
      <c r="R5" s="95">
        <v>0</v>
      </c>
      <c r="S5" s="96">
        <v>0</v>
      </c>
      <c r="T5" s="97">
        <v>0</v>
      </c>
      <c r="U5" s="97">
        <v>0</v>
      </c>
      <c r="V5" s="98">
        <v>0</v>
      </c>
      <c r="W5" s="99">
        <v>0</v>
      </c>
      <c r="X5" s="99">
        <v>0</v>
      </c>
      <c r="Y5" s="99">
        <v>0</v>
      </c>
      <c r="Z5" s="99">
        <v>0</v>
      </c>
      <c r="AA5" s="104">
        <v>6400000</v>
      </c>
      <c r="AB5" s="105">
        <v>6400000</v>
      </c>
      <c r="AC5" s="105">
        <v>0</v>
      </c>
      <c r="AD5" s="106">
        <v>0</v>
      </c>
      <c r="AE5" s="106">
        <v>0</v>
      </c>
      <c r="AF5" s="125">
        <v>0</v>
      </c>
      <c r="AG5" s="102">
        <f t="shared" si="0"/>
        <v>0</v>
      </c>
      <c r="AH5" s="102">
        <v>0</v>
      </c>
      <c r="AI5" s="102">
        <v>0</v>
      </c>
      <c r="AJ5" s="103">
        <v>0</v>
      </c>
      <c r="AK5" s="103">
        <v>0</v>
      </c>
      <c r="AL5" s="103">
        <v>0</v>
      </c>
      <c r="AM5" s="103">
        <v>0</v>
      </c>
      <c r="AN5" s="103">
        <v>0</v>
      </c>
      <c r="AO5" s="100">
        <v>61000</v>
      </c>
      <c r="AP5" s="101">
        <v>30500</v>
      </c>
    </row>
    <row r="6" spans="1:44" x14ac:dyDescent="0.2">
      <c r="A6" s="107" t="s">
        <v>88</v>
      </c>
      <c r="B6" s="187" t="s">
        <v>89</v>
      </c>
      <c r="C6" s="107">
        <v>0</v>
      </c>
      <c r="D6" s="107">
        <v>2024</v>
      </c>
      <c r="E6" s="108">
        <v>1364496</v>
      </c>
      <c r="F6" s="108">
        <v>122804</v>
      </c>
      <c r="G6" s="108">
        <v>29000</v>
      </c>
      <c r="H6" s="108">
        <v>2610</v>
      </c>
      <c r="I6" s="108">
        <f t="shared" si="1"/>
        <v>1518910</v>
      </c>
      <c r="J6" s="108">
        <v>0</v>
      </c>
      <c r="K6" s="108">
        <v>0</v>
      </c>
      <c r="L6" s="108">
        <f>Table1[[#This Row],[Cofinancing]]-Table1[[#This Row],[Of which private]]</f>
        <v>0</v>
      </c>
      <c r="M6" s="108">
        <v>700000</v>
      </c>
      <c r="N6" s="109">
        <f>Table1[[#This Row],[IPLC Finance]]/Table1[[#This Row],[Grant Cost (USD)]]</f>
        <v>0.51300993187228106</v>
      </c>
      <c r="O6" s="108">
        <f>Table1[[#This Row],[Grant Cost (USD)]]*Table1[[#This Row],[SIDS/LDC]]</f>
        <v>0</v>
      </c>
      <c r="P6" s="94">
        <v>1120200</v>
      </c>
      <c r="Q6" s="95">
        <v>0</v>
      </c>
      <c r="R6" s="95">
        <v>1120200</v>
      </c>
      <c r="S6" s="96">
        <v>0</v>
      </c>
      <c r="T6" s="97">
        <v>0</v>
      </c>
      <c r="U6" s="97">
        <v>0</v>
      </c>
      <c r="V6" s="98">
        <v>0</v>
      </c>
      <c r="W6" s="99">
        <v>0</v>
      </c>
      <c r="X6" s="99">
        <v>0</v>
      </c>
      <c r="Y6" s="99">
        <v>0</v>
      </c>
      <c r="Z6" s="99">
        <v>0</v>
      </c>
      <c r="AA6" s="104">
        <v>14000</v>
      </c>
      <c r="AB6" s="105">
        <v>14000</v>
      </c>
      <c r="AC6" s="105">
        <v>0</v>
      </c>
      <c r="AD6" s="106">
        <v>0</v>
      </c>
      <c r="AE6" s="106">
        <v>0</v>
      </c>
      <c r="AF6" s="125">
        <v>0</v>
      </c>
      <c r="AG6" s="102">
        <f t="shared" si="0"/>
        <v>0</v>
      </c>
      <c r="AH6" s="102">
        <v>0</v>
      </c>
      <c r="AI6" s="102">
        <v>0</v>
      </c>
      <c r="AJ6" s="103">
        <v>0</v>
      </c>
      <c r="AK6" s="103"/>
      <c r="AL6" s="103">
        <v>0</v>
      </c>
      <c r="AM6" s="103">
        <v>0</v>
      </c>
      <c r="AN6" s="103">
        <v>0</v>
      </c>
      <c r="AO6" s="100">
        <v>6700</v>
      </c>
      <c r="AP6" s="101">
        <v>3350</v>
      </c>
    </row>
    <row r="7" spans="1:44" x14ac:dyDescent="0.2">
      <c r="A7" s="107" t="s">
        <v>90</v>
      </c>
      <c r="B7" s="187" t="s">
        <v>91</v>
      </c>
      <c r="C7" s="107">
        <v>1</v>
      </c>
      <c r="D7" s="107">
        <v>2025</v>
      </c>
      <c r="E7" s="108">
        <v>5840868</v>
      </c>
      <c r="F7" s="108">
        <v>554882</v>
      </c>
      <c r="G7" s="108">
        <v>150000</v>
      </c>
      <c r="H7" s="108">
        <v>14250</v>
      </c>
      <c r="I7" s="108">
        <f t="shared" si="1"/>
        <v>6560000</v>
      </c>
      <c r="J7" s="108">
        <v>12000000</v>
      </c>
      <c r="K7" s="108">
        <v>0</v>
      </c>
      <c r="L7" s="108">
        <f>Table1[[#This Row],[Cofinancing]]-Table1[[#This Row],[Of which private]]</f>
        <v>12000000</v>
      </c>
      <c r="M7" s="108">
        <v>3059503</v>
      </c>
      <c r="N7" s="109">
        <f>Table1[[#This Row],[IPLC Finance]]/Table1[[#This Row],[Grant Cost (USD)]]</f>
        <v>0.52380964610054537</v>
      </c>
      <c r="O7" s="108">
        <f>Table1[[#This Row],[Grant Cost (USD)]]*Table1[[#This Row],[SIDS/LDC]]</f>
        <v>5840868</v>
      </c>
      <c r="P7" s="94">
        <v>0</v>
      </c>
      <c r="Q7" s="95">
        <v>0</v>
      </c>
      <c r="R7" s="95">
        <v>0</v>
      </c>
      <c r="S7" s="96">
        <v>0</v>
      </c>
      <c r="T7" s="97">
        <v>0</v>
      </c>
      <c r="U7" s="97">
        <v>0</v>
      </c>
      <c r="V7" s="98">
        <v>14000</v>
      </c>
      <c r="W7" s="99">
        <v>0</v>
      </c>
      <c r="X7" s="99">
        <v>14000</v>
      </c>
      <c r="Y7" s="99">
        <v>0</v>
      </c>
      <c r="Z7" s="99">
        <v>0</v>
      </c>
      <c r="AA7" s="104">
        <v>350000</v>
      </c>
      <c r="AB7" s="105">
        <v>350000</v>
      </c>
      <c r="AC7" s="105">
        <v>0</v>
      </c>
      <c r="AD7" s="106">
        <v>0</v>
      </c>
      <c r="AE7" s="106">
        <v>0</v>
      </c>
      <c r="AF7" s="125">
        <v>0</v>
      </c>
      <c r="AG7" s="102">
        <f t="shared" si="0"/>
        <v>8616902</v>
      </c>
      <c r="AH7" s="102">
        <v>1348305</v>
      </c>
      <c r="AI7" s="102">
        <v>7268597</v>
      </c>
      <c r="AJ7" s="103">
        <v>1348305</v>
      </c>
      <c r="AK7" s="103">
        <v>7268597</v>
      </c>
      <c r="AL7" s="103">
        <v>0</v>
      </c>
      <c r="AM7" s="103">
        <v>0</v>
      </c>
      <c r="AN7" s="103">
        <v>0</v>
      </c>
      <c r="AO7" s="100">
        <v>50000</v>
      </c>
      <c r="AP7" s="101">
        <v>25000</v>
      </c>
    </row>
    <row r="8" spans="1:44" x14ac:dyDescent="0.2">
      <c r="A8" s="107" t="s">
        <v>92</v>
      </c>
      <c r="B8" s="187" t="s">
        <v>93</v>
      </c>
      <c r="C8" s="107">
        <v>0</v>
      </c>
      <c r="D8" s="107">
        <v>2025</v>
      </c>
      <c r="E8" s="108">
        <v>11232110</v>
      </c>
      <c r="F8" s="108">
        <v>1010890</v>
      </c>
      <c r="G8" s="108">
        <v>300000</v>
      </c>
      <c r="H8" s="108">
        <v>27000</v>
      </c>
      <c r="I8" s="108">
        <f t="shared" si="1"/>
        <v>12570000</v>
      </c>
      <c r="J8" s="108">
        <v>30069315.43</v>
      </c>
      <c r="K8" s="108">
        <v>0</v>
      </c>
      <c r="L8" s="108">
        <f>Table1[[#This Row],[Cofinancing]]-Table1[[#This Row],[Of which private]]</f>
        <v>30069315.43</v>
      </c>
      <c r="M8" s="108">
        <v>2546717</v>
      </c>
      <c r="N8" s="109">
        <f>Table1[[#This Row],[IPLC Finance]]/Table1[[#This Row],[Grant Cost (USD)]]</f>
        <v>0.22673540412264481</v>
      </c>
      <c r="O8" s="108">
        <f>Table1[[#This Row],[Grant Cost (USD)]]*Table1[[#This Row],[SIDS/LDC]]</f>
        <v>0</v>
      </c>
      <c r="P8" s="94">
        <v>542740.73</v>
      </c>
      <c r="Q8" s="95">
        <v>67579.759999999995</v>
      </c>
      <c r="R8" s="95">
        <v>475160.97</v>
      </c>
      <c r="S8" s="96">
        <v>115675.89</v>
      </c>
      <c r="T8" s="97">
        <v>0</v>
      </c>
      <c r="U8" s="97">
        <v>115675.89</v>
      </c>
      <c r="V8" s="98">
        <v>1000</v>
      </c>
      <c r="W8" s="99">
        <v>0</v>
      </c>
      <c r="X8" s="99">
        <v>1000</v>
      </c>
      <c r="Y8" s="99">
        <v>0</v>
      </c>
      <c r="Z8" s="99">
        <v>0</v>
      </c>
      <c r="AA8" s="104">
        <v>3939913.6</v>
      </c>
      <c r="AB8" s="105">
        <v>3939913.6</v>
      </c>
      <c r="AC8" s="105">
        <v>0</v>
      </c>
      <c r="AD8" s="106">
        <v>0</v>
      </c>
      <c r="AE8" s="106">
        <v>0</v>
      </c>
      <c r="AF8" s="125">
        <v>0</v>
      </c>
      <c r="AG8" s="102">
        <f t="shared" si="0"/>
        <v>347821</v>
      </c>
      <c r="AH8" s="102">
        <v>347821</v>
      </c>
      <c r="AI8" s="102">
        <v>0</v>
      </c>
      <c r="AJ8" s="103">
        <v>347821</v>
      </c>
      <c r="AK8" s="103">
        <v>0</v>
      </c>
      <c r="AL8" s="103">
        <v>0</v>
      </c>
      <c r="AM8" s="103">
        <v>0</v>
      </c>
      <c r="AN8" s="103">
        <v>0</v>
      </c>
      <c r="AO8" s="100">
        <v>13370</v>
      </c>
      <c r="AP8" s="101">
        <v>6465</v>
      </c>
    </row>
    <row r="9" spans="1:44" x14ac:dyDescent="0.2">
      <c r="A9" s="107" t="s">
        <v>94</v>
      </c>
      <c r="B9" s="187" t="s">
        <v>95</v>
      </c>
      <c r="C9" s="141">
        <f>1/3</f>
        <v>0.33333333333333331</v>
      </c>
      <c r="D9" s="107">
        <v>2025</v>
      </c>
      <c r="E9" s="108">
        <v>6460126</v>
      </c>
      <c r="F9" s="108">
        <v>581411</v>
      </c>
      <c r="G9" s="108">
        <v>199991</v>
      </c>
      <c r="H9" s="108">
        <v>17998</v>
      </c>
      <c r="I9" s="108">
        <f t="shared" si="1"/>
        <v>7259526</v>
      </c>
      <c r="J9" s="108">
        <v>464000</v>
      </c>
      <c r="K9" s="108">
        <v>0</v>
      </c>
      <c r="L9" s="108">
        <f>Table1[[#This Row],[Cofinancing]]-Table1[[#This Row],[Of which private]]</f>
        <v>464000</v>
      </c>
      <c r="M9" s="108">
        <v>1000000</v>
      </c>
      <c r="N9" s="109">
        <f>Table1[[#This Row],[IPLC Finance]]/Table1[[#This Row],[Grant Cost (USD)]]</f>
        <v>0.15479574237406515</v>
      </c>
      <c r="O9" s="108">
        <f>Table1[[#This Row],[Grant Cost (USD)]]*Table1[[#This Row],[SIDS/LDC]]</f>
        <v>2153375.333333333</v>
      </c>
      <c r="P9" s="94">
        <v>1328275</v>
      </c>
      <c r="Q9" s="95">
        <v>0</v>
      </c>
      <c r="R9" s="95">
        <v>1328275</v>
      </c>
      <c r="S9" s="96">
        <v>0</v>
      </c>
      <c r="T9" s="97">
        <v>0</v>
      </c>
      <c r="U9" s="97">
        <v>0</v>
      </c>
      <c r="V9" s="98">
        <v>0</v>
      </c>
      <c r="W9" s="99">
        <v>0</v>
      </c>
      <c r="X9" s="99">
        <v>0</v>
      </c>
      <c r="Y9" s="99">
        <v>0</v>
      </c>
      <c r="Z9" s="99">
        <v>0</v>
      </c>
      <c r="AA9" s="104">
        <v>6000</v>
      </c>
      <c r="AB9" s="105">
        <v>6000</v>
      </c>
      <c r="AC9" s="105">
        <v>0</v>
      </c>
      <c r="AD9" s="106">
        <v>0</v>
      </c>
      <c r="AE9" s="106">
        <v>0</v>
      </c>
      <c r="AF9" s="125">
        <v>0</v>
      </c>
      <c r="AG9" s="102">
        <f t="shared" si="0"/>
        <v>6765287</v>
      </c>
      <c r="AH9" s="102">
        <v>6765287</v>
      </c>
      <c r="AI9" s="102">
        <v>0</v>
      </c>
      <c r="AJ9" s="103">
        <v>6765287</v>
      </c>
      <c r="AK9" s="103">
        <v>0</v>
      </c>
      <c r="AL9" s="103">
        <v>0</v>
      </c>
      <c r="AM9" s="103">
        <v>0</v>
      </c>
      <c r="AN9" s="103">
        <v>0</v>
      </c>
      <c r="AO9" s="100">
        <v>5500</v>
      </c>
      <c r="AP9" s="101">
        <v>2200</v>
      </c>
    </row>
    <row r="10" spans="1:44" x14ac:dyDescent="0.2">
      <c r="A10" s="107"/>
      <c r="B10" s="107"/>
      <c r="C10" s="107"/>
      <c r="D10" s="107"/>
      <c r="E10" s="108">
        <f>SUM(Table1[Grant Cost (USD)])</f>
        <v>59598518</v>
      </c>
      <c r="F10" s="108">
        <f>SUM(Table1[Agency Fee (USD)])</f>
        <v>5393069</v>
      </c>
      <c r="G10" s="108">
        <f>SUM(Table1[PPG Amount (USD)])</f>
        <v>1078991</v>
      </c>
      <c r="H10" s="108">
        <f>SUM(Table1[PPG Agency Fee])</f>
        <v>97858</v>
      </c>
      <c r="I10" s="108">
        <f>SUM(Table1[Total GEF Cost])</f>
        <v>66168436</v>
      </c>
      <c r="J10" s="108">
        <f>SUM(Table1[Cofinancing])</f>
        <v>175982847.43000001</v>
      </c>
      <c r="K10" s="108">
        <f>SUM(Table1[Of which private])</f>
        <v>16267000</v>
      </c>
      <c r="L10" s="108">
        <f>SUM(Table1[Of which public])</f>
        <v>159715847.43000001</v>
      </c>
      <c r="M10" s="108">
        <f>SUM(Table1[IPLC Finance])</f>
        <v>28817966</v>
      </c>
      <c r="N10" s="109">
        <f>SUMPRODUCT(Table1[% IPLC],Table1[Grant Cost (USD)])/SUM(Table1[Total GEF Cost])</f>
        <v>0.4355243639127272</v>
      </c>
      <c r="O10" s="108">
        <f>SUM(Table1[SIDS/LDC Finance])</f>
        <v>7994243.333333333</v>
      </c>
      <c r="P10" s="127"/>
      <c r="Q10" s="128"/>
      <c r="R10" s="128"/>
      <c r="S10" s="129"/>
      <c r="T10" s="130"/>
      <c r="U10" s="130"/>
      <c r="V10" s="131"/>
      <c r="W10" s="132"/>
      <c r="X10" s="132"/>
      <c r="Y10" s="132"/>
      <c r="Z10" s="132"/>
      <c r="AA10" s="133"/>
      <c r="AB10" s="134"/>
      <c r="AC10" s="134"/>
      <c r="AD10" s="135"/>
      <c r="AE10" s="135"/>
      <c r="AF10" s="136"/>
      <c r="AG10" s="137"/>
      <c r="AH10" s="137"/>
      <c r="AI10" s="137"/>
      <c r="AJ10" s="138"/>
      <c r="AK10" s="138"/>
      <c r="AL10" s="138"/>
      <c r="AM10" s="138"/>
      <c r="AN10" s="138"/>
      <c r="AO10" s="139"/>
      <c r="AP10" s="140"/>
    </row>
    <row r="11" spans="1:44" x14ac:dyDescent="0.2">
      <c r="M11" s="67"/>
    </row>
    <row r="14" spans="1:44" x14ac:dyDescent="0.2">
      <c r="I14" s="210"/>
      <c r="K14" s="67"/>
      <c r="L14" s="67"/>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A85A5-A330-4409-AD0E-4600BEBC77CB}">
  <sheetPr>
    <tabColor rgb="FFFFC000"/>
  </sheetPr>
  <dimension ref="A1:I30"/>
  <sheetViews>
    <sheetView workbookViewId="0">
      <selection activeCell="B24" sqref="B24"/>
    </sheetView>
  </sheetViews>
  <sheetFormatPr defaultRowHeight="12.75" x14ac:dyDescent="0.2"/>
  <cols>
    <col min="1" max="1" width="80.5703125" customWidth="1"/>
    <col min="2" max="3" width="14.140625" bestFit="1" customWidth="1"/>
    <col min="4" max="4" width="14.140625" customWidth="1"/>
    <col min="5" max="5" width="13" bestFit="1" customWidth="1"/>
    <col min="6" max="7" width="14.140625" bestFit="1" customWidth="1"/>
  </cols>
  <sheetData>
    <row r="1" spans="1:9" x14ac:dyDescent="0.2">
      <c r="A1" s="152" t="s">
        <v>96</v>
      </c>
    </row>
    <row r="2" spans="1:9" ht="26.25" customHeight="1" x14ac:dyDescent="0.2">
      <c r="A2" s="87" t="s">
        <v>97</v>
      </c>
      <c r="B2" s="69" t="s">
        <v>98</v>
      </c>
      <c r="C2" s="69" t="s">
        <v>99</v>
      </c>
      <c r="D2" s="69"/>
      <c r="E2" s="69" t="s">
        <v>100</v>
      </c>
      <c r="F2" s="69" t="s">
        <v>101</v>
      </c>
      <c r="G2" s="69" t="s">
        <v>102</v>
      </c>
    </row>
    <row r="3" spans="1:9" ht="25.5" x14ac:dyDescent="0.2">
      <c r="A3" s="1" t="s">
        <v>103</v>
      </c>
      <c r="B3" s="147">
        <v>0</v>
      </c>
      <c r="C3" s="88">
        <f>B3*Inputs!$B$3</f>
        <v>0</v>
      </c>
      <c r="D3" s="88"/>
      <c r="E3" s="88">
        <f>$C3*'UK GBFF Spend'!C$5</f>
        <v>0</v>
      </c>
      <c r="F3" s="88">
        <f>$C3*'UK GBFF Spend'!D$5</f>
        <v>0</v>
      </c>
      <c r="G3" s="88">
        <f>$C3*'UK GBFF Spend'!E$5</f>
        <v>0</v>
      </c>
    </row>
    <row r="4" spans="1:9" x14ac:dyDescent="0.2">
      <c r="A4" s="1" t="s">
        <v>104</v>
      </c>
      <c r="B4" s="88">
        <v>56255796</v>
      </c>
      <c r="C4" s="88">
        <f>B4*Inputs!$B$3</f>
        <v>45004636.800000004</v>
      </c>
      <c r="D4" s="88"/>
      <c r="E4" s="88">
        <f>$C4*'UK GBFF Spend'!B$11</f>
        <v>6750695.5200000005</v>
      </c>
      <c r="F4" s="88">
        <f>$C4*'UK GBFF Spend'!C$11</f>
        <v>21377202.48</v>
      </c>
      <c r="G4" s="88">
        <f>$C4*'UK GBFF Spend'!D$11</f>
        <v>24752550.240000006</v>
      </c>
      <c r="I4" s="179"/>
    </row>
    <row r="5" spans="1:9" ht="25.5" x14ac:dyDescent="0.2">
      <c r="A5" s="1" t="s">
        <v>105</v>
      </c>
      <c r="B5" s="147">
        <v>0</v>
      </c>
      <c r="C5" s="88">
        <f>B5*Inputs!$B$3</f>
        <v>0</v>
      </c>
      <c r="D5" s="88"/>
      <c r="E5" s="88">
        <f>$C5*'UK GBFF Spend'!B$11</f>
        <v>0</v>
      </c>
      <c r="F5" s="88">
        <f>$C5*'UK GBFF Spend'!C$11</f>
        <v>0</v>
      </c>
      <c r="G5" s="88">
        <f>$C5*'UK GBFF Spend'!D$11</f>
        <v>0</v>
      </c>
      <c r="I5" s="179"/>
    </row>
    <row r="6" spans="1:9" ht="25.5" x14ac:dyDescent="0.2">
      <c r="A6" s="1" t="s">
        <v>106</v>
      </c>
      <c r="B6" s="147">
        <v>0</v>
      </c>
      <c r="C6" s="88">
        <f>B6*Inputs!$B$3</f>
        <v>0</v>
      </c>
      <c r="D6" s="88"/>
      <c r="E6" s="88">
        <f>$C6*'UK GBFF Spend'!B$11</f>
        <v>0</v>
      </c>
      <c r="F6" s="88">
        <f>$C6*'UK GBFF Spend'!C$11</f>
        <v>0</v>
      </c>
      <c r="G6" s="88">
        <f>$C6*'UK GBFF Spend'!D$11</f>
        <v>0</v>
      </c>
    </row>
    <row r="7" spans="1:9" ht="25.5" x14ac:dyDescent="0.2">
      <c r="A7" s="1" t="s">
        <v>107</v>
      </c>
      <c r="B7" s="93">
        <f>SUM(B10:B14)</f>
        <v>31470682</v>
      </c>
      <c r="C7" s="88">
        <f>B7*Inputs!$B$3</f>
        <v>25176545.600000001</v>
      </c>
      <c r="D7" s="88"/>
      <c r="E7" s="88">
        <f>$C7*'UK GBFF Spend'!B$11</f>
        <v>3776481.84</v>
      </c>
      <c r="F7" s="88">
        <f>$C7*'UK GBFF Spend'!C$11</f>
        <v>11958859.16</v>
      </c>
      <c r="G7" s="88">
        <f>$C7*'UK GBFF Spend'!D$11</f>
        <v>13847100.080000002</v>
      </c>
    </row>
    <row r="8" spans="1:9" x14ac:dyDescent="0.2">
      <c r="A8" s="87"/>
      <c r="B8" s="69"/>
      <c r="C8" s="88"/>
      <c r="D8" s="88"/>
      <c r="E8" s="88"/>
      <c r="F8" s="88"/>
      <c r="G8" s="88"/>
    </row>
    <row r="9" spans="1:9" x14ac:dyDescent="0.2">
      <c r="A9" s="87" t="s">
        <v>108</v>
      </c>
      <c r="B9" s="69"/>
      <c r="C9" s="88"/>
      <c r="D9" s="88"/>
      <c r="E9" s="88"/>
      <c r="F9" s="88"/>
      <c r="G9" s="88"/>
    </row>
    <row r="10" spans="1:9" ht="25.5" x14ac:dyDescent="0.2">
      <c r="A10" s="1" t="s">
        <v>109</v>
      </c>
      <c r="B10" s="88">
        <v>9190315</v>
      </c>
      <c r="C10" s="88">
        <f>B10*Inputs!$B$3</f>
        <v>7352252</v>
      </c>
      <c r="D10" s="88"/>
      <c r="E10" s="88">
        <f>$C10*'UK GBFF Spend'!B$11</f>
        <v>1102837.8</v>
      </c>
      <c r="F10" s="88">
        <f>$C10*'UK GBFF Spend'!C$11</f>
        <v>3492319.6999999997</v>
      </c>
      <c r="G10" s="88">
        <f>$C10*'UK GBFF Spend'!D$11</f>
        <v>4043738.6000000006</v>
      </c>
    </row>
    <row r="11" spans="1:9" ht="25.5" x14ac:dyDescent="0.2">
      <c r="A11" s="1" t="s">
        <v>110</v>
      </c>
      <c r="B11" s="88">
        <v>1737929</v>
      </c>
      <c r="C11" s="88">
        <f>B11*Inputs!$B$3</f>
        <v>1390343.2000000002</v>
      </c>
      <c r="D11" s="88"/>
      <c r="E11" s="88">
        <f>$C11*'UK GBFF Spend'!B$11</f>
        <v>208551.48</v>
      </c>
      <c r="F11" s="88">
        <f>$C11*'UK GBFF Spend'!C$11</f>
        <v>660413.02</v>
      </c>
      <c r="G11" s="88">
        <f>$C11*'UK GBFF Spend'!D$11</f>
        <v>764688.76000000013</v>
      </c>
    </row>
    <row r="12" spans="1:9" x14ac:dyDescent="0.2">
      <c r="A12" s="1" t="s">
        <v>111</v>
      </c>
      <c r="B12" s="88">
        <v>150471</v>
      </c>
      <c r="C12" s="88">
        <f>B12*Inputs!$B$3</f>
        <v>120376.8</v>
      </c>
      <c r="D12" s="88"/>
      <c r="E12" s="88">
        <f>$C12*'UK GBFF Spend'!B$11</f>
        <v>18056.52</v>
      </c>
      <c r="F12" s="88">
        <f>$C12*'UK GBFF Spend'!C$11</f>
        <v>57178.979999999996</v>
      </c>
      <c r="G12" s="88">
        <f>$C12*'UK GBFF Spend'!D$11</f>
        <v>66207.240000000005</v>
      </c>
    </row>
    <row r="13" spans="1:9" x14ac:dyDescent="0.2">
      <c r="A13" s="1" t="s">
        <v>112</v>
      </c>
      <c r="B13" s="88">
        <v>12207723</v>
      </c>
      <c r="C13" s="88">
        <f>B13*Inputs!$B$3</f>
        <v>9766178.4000000004</v>
      </c>
      <c r="D13" s="88"/>
      <c r="E13" s="88">
        <f>$C13*'UK GBFF Spend'!B$11</f>
        <v>1464926.76</v>
      </c>
      <c r="F13" s="88">
        <f>$C13*'UK GBFF Spend'!C$11</f>
        <v>4638934.74</v>
      </c>
      <c r="G13" s="88">
        <f>$C13*'UK GBFF Spend'!D$11</f>
        <v>5371398.120000001</v>
      </c>
    </row>
    <row r="14" spans="1:9" x14ac:dyDescent="0.2">
      <c r="A14" s="1" t="s">
        <v>113</v>
      </c>
      <c r="B14" s="88">
        <v>8184244</v>
      </c>
      <c r="C14" s="88">
        <f>B14*Inputs!$B$3</f>
        <v>6547395.2000000002</v>
      </c>
      <c r="D14" s="88"/>
      <c r="E14" s="88">
        <f>$C14*'UK GBFF Spend'!B$11</f>
        <v>982109.28</v>
      </c>
      <c r="F14" s="88">
        <f>$C14*'UK GBFF Spend'!C$11</f>
        <v>3110012.7199999997</v>
      </c>
      <c r="G14" s="88">
        <f>$C14*'UK GBFF Spend'!D$11</f>
        <v>3601067.3600000003</v>
      </c>
    </row>
    <row r="15" spans="1:9" x14ac:dyDescent="0.2">
      <c r="A15" s="1" t="s">
        <v>114</v>
      </c>
      <c r="B15" s="88"/>
      <c r="C15" s="88"/>
      <c r="D15" s="88"/>
      <c r="E15" s="88">
        <f>$C15*'UK GBFF Spend'!C$5</f>
        <v>0</v>
      </c>
      <c r="F15" s="88">
        <f>$C15*'UK GBFF Spend'!D$5</f>
        <v>0</v>
      </c>
      <c r="G15" s="88">
        <f>$C15*'UK GBFF Spend'!E$5</f>
        <v>0</v>
      </c>
    </row>
    <row r="16" spans="1:9" ht="25.5" x14ac:dyDescent="0.2">
      <c r="A16" s="1" t="s">
        <v>115</v>
      </c>
      <c r="E16" s="88">
        <f>$C16*'UK GBFF Spend'!C$5</f>
        <v>0</v>
      </c>
      <c r="F16" s="88">
        <f>$C16*'UK GBFF Spend'!D$5</f>
        <v>0</v>
      </c>
      <c r="G16" s="88">
        <f>$C16*'UK GBFF Spend'!E$5</f>
        <v>0</v>
      </c>
    </row>
    <row r="17" spans="1:7" x14ac:dyDescent="0.2">
      <c r="A17" s="1" t="s">
        <v>116</v>
      </c>
      <c r="E17">
        <v>7</v>
      </c>
      <c r="F17">
        <v>7</v>
      </c>
      <c r="G17">
        <v>7</v>
      </c>
    </row>
    <row r="18" spans="1:7" ht="25.5" x14ac:dyDescent="0.2">
      <c r="A18" s="1" t="s">
        <v>117</v>
      </c>
      <c r="E18" s="67">
        <v>0.39</v>
      </c>
      <c r="F18" s="67">
        <v>0.39</v>
      </c>
      <c r="G18" s="67">
        <v>0.39</v>
      </c>
    </row>
    <row r="19" spans="1:7" x14ac:dyDescent="0.2">
      <c r="A19" s="1" t="s">
        <v>118</v>
      </c>
      <c r="E19" s="67">
        <v>0.25</v>
      </c>
      <c r="F19" s="67">
        <v>0.25</v>
      </c>
      <c r="G19" s="67">
        <v>0.25</v>
      </c>
    </row>
    <row r="20" spans="1:7" ht="25.5" x14ac:dyDescent="0.2">
      <c r="A20" s="1" t="s">
        <v>119</v>
      </c>
      <c r="E20" s="67">
        <v>0.2</v>
      </c>
      <c r="F20" s="67">
        <v>0.2</v>
      </c>
      <c r="G20" s="67">
        <v>0.2</v>
      </c>
    </row>
    <row r="22" spans="1:7" ht="39.75" customHeight="1" x14ac:dyDescent="0.2">
      <c r="A22" s="224" t="s">
        <v>120</v>
      </c>
      <c r="B22" s="224"/>
      <c r="C22" s="224"/>
      <c r="D22" s="224"/>
      <c r="E22" s="224"/>
      <c r="F22" s="224"/>
      <c r="G22" s="224"/>
    </row>
    <row r="24" spans="1:7" x14ac:dyDescent="0.2">
      <c r="A24" s="73" t="s">
        <v>121</v>
      </c>
      <c r="B24" s="66" t="s">
        <v>122</v>
      </c>
      <c r="C24" s="1"/>
      <c r="D24" s="1"/>
    </row>
    <row r="25" spans="1:7" x14ac:dyDescent="0.2">
      <c r="B25" s="66" t="s">
        <v>123</v>
      </c>
    </row>
    <row r="30" spans="1:7" x14ac:dyDescent="0.2">
      <c r="A30" s="1"/>
    </row>
  </sheetData>
  <mergeCells count="1">
    <mergeCell ref="A22:G22"/>
  </mergeCells>
  <hyperlinks>
    <hyperlink ref="B24" r:id="rId1" xr:uid="{986023A9-563E-475E-A1D9-0285538848F3}"/>
    <hyperlink ref="B25" r:id="rId2" display="https://www.thegef.org/sites/default/files/documents/2024-02/EN_GEF.C.64.Inf_.04_Scorecard_June_2023.pdf" xr:uid="{3A8348A5-664B-4CF3-97F3-27BF6B522B7E}"/>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35A5D-E696-418B-BAEF-630CBAFF8E81}">
  <sheetPr>
    <tabColor rgb="FFFFC000"/>
  </sheetPr>
  <dimension ref="A1:K23"/>
  <sheetViews>
    <sheetView workbookViewId="0">
      <selection activeCell="B8" sqref="B8"/>
    </sheetView>
  </sheetViews>
  <sheetFormatPr defaultRowHeight="12.75" x14ac:dyDescent="0.2"/>
  <cols>
    <col min="1" max="1" width="56.85546875" customWidth="1"/>
    <col min="2" max="3" width="14.140625" style="92" customWidth="1"/>
    <col min="4" max="5" width="14.140625" customWidth="1"/>
    <col min="6" max="6" width="12.85546875" customWidth="1"/>
    <col min="8" max="8" width="10.42578125" bestFit="1" customWidth="1"/>
  </cols>
  <sheetData>
    <row r="1" spans="1:11" x14ac:dyDescent="0.2">
      <c r="A1" s="151" t="s">
        <v>124</v>
      </c>
      <c r="B1" s="177"/>
      <c r="G1" s="176"/>
      <c r="K1" s="176"/>
    </row>
    <row r="2" spans="1:11" x14ac:dyDescent="0.2">
      <c r="A2" s="87" t="s">
        <v>125</v>
      </c>
      <c r="B2" s="126">
        <v>2024</v>
      </c>
      <c r="C2" s="126">
        <v>2025</v>
      </c>
      <c r="D2" s="87">
        <v>2026</v>
      </c>
      <c r="E2" s="87">
        <v>2027</v>
      </c>
      <c r="F2" s="87" t="s">
        <v>22</v>
      </c>
    </row>
    <row r="3" spans="1:11" ht="30" x14ac:dyDescent="0.25">
      <c r="A3" s="121" t="s">
        <v>126</v>
      </c>
      <c r="B3" s="92">
        <f>SUMIF(Table1[Approval year],B2,Table1[1. Terrestrial protected areas created or under improved management (Ha)])</f>
        <v>9367687.3599999994</v>
      </c>
      <c r="C3" s="92">
        <f>SUMIF(Table1[Approval year],C2,Table1[1. Terrestrial protected areas created or under improved management (Ha)])</f>
        <v>1871015.73</v>
      </c>
      <c r="D3" s="92">
        <f>SUMIF(Table1[Approval year],D2,Table1[1. Terrestrial protected areas created or under improved management (Ha)])</f>
        <v>0</v>
      </c>
      <c r="E3" s="92">
        <f>SUMIF(Table1[Approval year],E2,Table1[1. Terrestrial protected areas created or under improved management (Ha)])</f>
        <v>0</v>
      </c>
      <c r="F3" s="88">
        <f t="shared" ref="F3:F16" si="0">SUM(B3:D3)</f>
        <v>11238703.09</v>
      </c>
    </row>
    <row r="4" spans="1:11" ht="25.5" x14ac:dyDescent="0.2">
      <c r="A4" s="1" t="s">
        <v>127</v>
      </c>
      <c r="B4" s="92">
        <f>SUMIF(Table1[Approval year],B2,Table1[2. Marine protected areas created or under improved management (Ha)])</f>
        <v>22241503.949999999</v>
      </c>
      <c r="C4" s="92">
        <f>SUMIF(Table1[Approval year],C2,Table1[2. Marine protected areas created or under improved management (Ha)])</f>
        <v>115675.89</v>
      </c>
      <c r="D4" s="92">
        <f>SUMIF(Table1[Approval year],D2,Table1[2. Marine protected areas created or under improved management (Ha)])</f>
        <v>0</v>
      </c>
      <c r="E4" s="92">
        <f>SUMIF(Table1[Approval year],E2,Table1[2. Marine protected areas created or under improved management (Ha)])</f>
        <v>0</v>
      </c>
      <c r="F4" s="88">
        <f t="shared" si="0"/>
        <v>22357179.84</v>
      </c>
    </row>
    <row r="5" spans="1:11" x14ac:dyDescent="0.2">
      <c r="A5" s="122" t="s">
        <v>128</v>
      </c>
      <c r="B5" s="92">
        <f>SUMIF(Table1[Approval year],B2,Table1[3. Area of land and ecosystems under restoration])</f>
        <v>0</v>
      </c>
      <c r="C5" s="92">
        <f>SUMIF(Table1[Approval year],C2,Table1[3. Area of land and ecosystems under restoration])</f>
        <v>15000</v>
      </c>
      <c r="D5" s="92">
        <f>SUMIF(Table1[Approval year],D2,Table1[3. Area of land and ecosystems under restoration])</f>
        <v>0</v>
      </c>
      <c r="E5" s="92">
        <f>SUMIF(Table1[Approval year],E2,Table1[3. Area of land and ecosystems under restoration])</f>
        <v>0</v>
      </c>
      <c r="F5" s="88">
        <f t="shared" si="0"/>
        <v>15000</v>
      </c>
    </row>
    <row r="6" spans="1:11" ht="15" x14ac:dyDescent="0.25">
      <c r="A6" s="121" t="s">
        <v>129</v>
      </c>
      <c r="B6" s="92">
        <f>SUMIF(Table1[Approval year],B2,Table1[4. Area of landscape under improved pratice, excluding protected areas (Ha)])</f>
        <v>6414000</v>
      </c>
      <c r="C6" s="92">
        <f>SUMIF(Table1[Approval year],C2,Table1[4. Area of landscape under improved pratice, excluding protected areas (Ha)])</f>
        <v>4295913.5999999996</v>
      </c>
      <c r="D6" s="92">
        <f>SUMIF(Table1[Approval year],D2,Table1[4. Area of landscape under improved pratice, excluding protected areas (Ha)])</f>
        <v>0</v>
      </c>
      <c r="E6" s="92">
        <f>SUMIF(Table1[Approval year],E2,Table1[4. Area of landscape under improved pratice, excluding protected areas (Ha)])</f>
        <v>0</v>
      </c>
      <c r="F6" s="88">
        <f t="shared" si="0"/>
        <v>10709913.6</v>
      </c>
    </row>
    <row r="7" spans="1:11" x14ac:dyDescent="0.2">
      <c r="A7" s="1" t="s">
        <v>130</v>
      </c>
      <c r="B7" s="92">
        <f>SUMIF(Table1[Approval year],B2,Table1[5. Area of marine habitat under improved practices (million ha)])</f>
        <v>0</v>
      </c>
      <c r="C7" s="92">
        <f>SUMIF(Table1[Approval year],C2,Table1[5. Area of marine habitat under improved practices (million ha)])</f>
        <v>0</v>
      </c>
      <c r="D7" s="92">
        <f>SUMIF(Table1[Approval year],D2,Table1[5. Area of marine habitat under improved practices (million ha)])</f>
        <v>0</v>
      </c>
      <c r="E7" s="92">
        <f>SUMIF(Table1[Approval year],E2,Table1[5. Area of marine habitat under improved practices (million ha)])</f>
        <v>0</v>
      </c>
      <c r="F7" s="88">
        <f t="shared" si="0"/>
        <v>0</v>
      </c>
    </row>
    <row r="8" spans="1:11" ht="15" x14ac:dyDescent="0.25">
      <c r="A8" s="121" t="s">
        <v>131</v>
      </c>
      <c r="B8" s="92">
        <f>SUMIF(Table1[Approval year],B2,Table1[6. Greenhouse Gas Emissions Mitigated (tCO2e)])</f>
        <v>54537633.449999996</v>
      </c>
      <c r="C8" s="92">
        <f>SUMIF(Table1[Approval year],C2,Table1[6. Greenhouse Gas Emissions Mitigated (tCO2e)])</f>
        <v>15730010</v>
      </c>
      <c r="D8" s="92">
        <f>SUMIF(Table1[Approval year],D2,Table1[6. Greenhouse Gas Emissions Mitigated (tCO2e)])</f>
        <v>0</v>
      </c>
      <c r="E8" s="92">
        <f>SUMIF(Table1[Approval year],E2,Table1[6. Greenhouse Gas Emissions Mitigated (tCO2e)])</f>
        <v>0</v>
      </c>
      <c r="F8" s="88">
        <f t="shared" si="0"/>
        <v>70267643.449999988</v>
      </c>
    </row>
    <row r="9" spans="1:11" ht="25.5" x14ac:dyDescent="0.2">
      <c r="A9" s="123" t="s">
        <v>132</v>
      </c>
      <c r="B9" s="88">
        <f>SUMIF(Table1[Approval year],B2,Table1[11. People benefiting from GEF investment])</f>
        <v>235383</v>
      </c>
      <c r="C9" s="88">
        <f>SUMIF(Table1[Approval year],C2,Table1[11. People benefiting from GEF investment])</f>
        <v>68870</v>
      </c>
      <c r="D9" s="92">
        <f>SUMIF(Table1[Approval year],D2,Table1[11. People benefiting from GEF investment])</f>
        <v>0</v>
      </c>
      <c r="E9" s="92">
        <f>SUMIF(Table1[Approval year],E2,Table1[11. People benefiting from GEF investment])</f>
        <v>0</v>
      </c>
      <c r="F9" s="88">
        <f t="shared" si="0"/>
        <v>304253</v>
      </c>
      <c r="I9" s="88"/>
    </row>
    <row r="10" spans="1:11" x14ac:dyDescent="0.2">
      <c r="A10" s="1" t="s">
        <v>133</v>
      </c>
      <c r="B10" s="88">
        <f>SUMIF(Table1[Approval year],B2,Table1[11.1 of whom women])</f>
        <v>119641</v>
      </c>
      <c r="C10" s="88">
        <f>SUMIF(Table1[Approval year],C2,Table1[11.1 of whom women])</f>
        <v>33665</v>
      </c>
      <c r="D10" s="92">
        <f>SUMIF(Table1[Approval year],D2,Table1[11.1 of whom women])</f>
        <v>0</v>
      </c>
      <c r="E10" s="92">
        <f>SUMIF(Table1[Approval year],E2,Table1[11.1 of whom women])</f>
        <v>0</v>
      </c>
      <c r="F10" s="88">
        <f t="shared" si="0"/>
        <v>153306</v>
      </c>
    </row>
    <row r="11" spans="1:11" x14ac:dyDescent="0.2">
      <c r="A11" s="2" t="s">
        <v>134</v>
      </c>
      <c r="B11" s="91">
        <f>SUMIF(Table1[Approval year],B2,Table1[Cofinancing])</f>
        <v>133449532</v>
      </c>
      <c r="C11" s="91">
        <f>SUMIF(Table1[Approval year],C2,Table1[Cofinancing])</f>
        <v>42533315.43</v>
      </c>
      <c r="D11" s="91">
        <f>SUMIF(Table1[Approval year],D2,Table1[Cofinancing])</f>
        <v>0</v>
      </c>
      <c r="E11" s="91">
        <f>SUMIF(Table1[Approval year],E2,Table1[Cofinancing])</f>
        <v>0</v>
      </c>
      <c r="F11" s="88">
        <f t="shared" si="0"/>
        <v>175982847.43000001</v>
      </c>
    </row>
    <row r="12" spans="1:11" x14ac:dyDescent="0.2">
      <c r="A12" s="2" t="s">
        <v>135</v>
      </c>
      <c r="B12" s="91">
        <f>B11-B13</f>
        <v>117182532</v>
      </c>
      <c r="C12" s="91">
        <f t="shared" ref="C12" si="1">C11-C13</f>
        <v>42533315.43</v>
      </c>
      <c r="D12" s="91">
        <f>D11-D13</f>
        <v>0</v>
      </c>
      <c r="E12" s="91">
        <f>E11-E13</f>
        <v>0</v>
      </c>
      <c r="F12" s="88">
        <f t="shared" si="0"/>
        <v>159715847.43000001</v>
      </c>
    </row>
    <row r="13" spans="1:11" x14ac:dyDescent="0.2">
      <c r="A13" s="2" t="s">
        <v>136</v>
      </c>
      <c r="B13" s="91">
        <f>SUMIF(Table1[Approval year],'Aggregate Results'!B2,Table1[Of which private])</f>
        <v>16267000</v>
      </c>
      <c r="C13" s="91">
        <f>SUMIF(Table1[Approval year],'Aggregate Results'!C2,Table1[Of which private])</f>
        <v>0</v>
      </c>
      <c r="D13" s="91">
        <f>SUMIF(Table1[Approval year],'Aggregate Results'!D2,Table1[Of which private])</f>
        <v>0</v>
      </c>
      <c r="E13" s="91">
        <f>SUMIF(Table1[Approval year],'Aggregate Results'!E2,Table1[Of which private])</f>
        <v>0</v>
      </c>
      <c r="F13" s="88">
        <f t="shared" si="0"/>
        <v>16267000</v>
      </c>
    </row>
    <row r="14" spans="1:11" x14ac:dyDescent="0.2">
      <c r="A14" s="2" t="s">
        <v>137</v>
      </c>
      <c r="B14" s="91">
        <f>SUMIF(Table1[Approval year],'Aggregate Results'!B2,Table1[SIDS/LDC Finance])</f>
        <v>0</v>
      </c>
      <c r="C14" s="91">
        <f>SUMIF(Table1[Approval year],'Aggregate Results'!C2,Table1[SIDS/LDC Finance])</f>
        <v>7994243.333333333</v>
      </c>
      <c r="D14" s="91">
        <f>SUMIF(Table1[Approval year],'Aggregate Results'!D2,Table1[SIDS/LDC Finance])</f>
        <v>0</v>
      </c>
      <c r="E14" s="91">
        <f>SUMIF(Table1[Approval year],'Aggregate Results'!E2,Table1[SIDS/LDC Finance])</f>
        <v>0</v>
      </c>
      <c r="F14" s="88">
        <f>SUM(B14:D14)</f>
        <v>7994243.333333333</v>
      </c>
    </row>
    <row r="15" spans="1:11" x14ac:dyDescent="0.2">
      <c r="A15" s="2" t="s">
        <v>138</v>
      </c>
      <c r="B15" s="91">
        <v>0</v>
      </c>
      <c r="C15" s="91">
        <v>0</v>
      </c>
      <c r="D15" s="91">
        <v>0</v>
      </c>
      <c r="E15" s="91">
        <v>0</v>
      </c>
      <c r="F15" s="88">
        <f>SUM(B15:D15)</f>
        <v>0</v>
      </c>
    </row>
    <row r="16" spans="1:11" x14ac:dyDescent="0.2">
      <c r="A16" s="2" t="s">
        <v>139</v>
      </c>
      <c r="B16" s="91">
        <f>SUMIF(Table1[Approval year],'Aggregate Results'!B2,Table1[IPLC Finance])</f>
        <v>22211746</v>
      </c>
      <c r="C16" s="91">
        <f>SUMIF(Table1[Approval year],'Aggregate Results'!C2,Table1[IPLC Finance])</f>
        <v>6606220</v>
      </c>
      <c r="D16" s="91">
        <f>SUMIF(Table1[Approval year],'Aggregate Results'!D2,Table1[IPLC Finance])</f>
        <v>0</v>
      </c>
      <c r="E16" s="91">
        <f>SUMIF(Table1[Approval year],'Aggregate Results'!E2,Table1[IPLC Finance])</f>
        <v>0</v>
      </c>
      <c r="F16" s="88">
        <f t="shared" si="0"/>
        <v>28817966</v>
      </c>
    </row>
    <row r="17" spans="1:6" ht="12.75" customHeight="1" x14ac:dyDescent="0.2"/>
    <row r="18" spans="1:6" ht="12.75" customHeight="1" x14ac:dyDescent="0.2">
      <c r="A18" s="87" t="s">
        <v>140</v>
      </c>
    </row>
    <row r="19" spans="1:6" x14ac:dyDescent="0.2">
      <c r="A19" t="s">
        <v>141</v>
      </c>
      <c r="B19" s="91">
        <f>SUMIF(Table1[Approval year],B2,Table1[Total GEF Cost])</f>
        <v>39778910</v>
      </c>
      <c r="C19" s="91">
        <f>SUMIF(Table1[Approval year],C2,Table1[Total GEF Cost])</f>
        <v>26389526</v>
      </c>
      <c r="D19" s="91">
        <f>SUMIF(Table1[Approval year],D2,Table1[Total GEF Cost])</f>
        <v>0</v>
      </c>
      <c r="E19" s="91">
        <f>SUMIF(Table1[Approval year],E2,Table1[Total GEF Cost])</f>
        <v>0</v>
      </c>
      <c r="F19" s="91">
        <f>SUM(B19:D19)</f>
        <v>66168436</v>
      </c>
    </row>
    <row r="21" spans="1:6" x14ac:dyDescent="0.2">
      <c r="A21" t="s">
        <v>142</v>
      </c>
    </row>
    <row r="23" spans="1:6" ht="12.75" customHeight="1" x14ac:dyDescent="0.2"/>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5CB04-72B8-464C-88D6-E413849A1DD8}">
  <sheetPr>
    <tabColor rgb="FFFFC000"/>
  </sheetPr>
  <dimension ref="A1:N32"/>
  <sheetViews>
    <sheetView topLeftCell="A2" workbookViewId="0">
      <selection activeCell="H5" sqref="H5"/>
    </sheetView>
  </sheetViews>
  <sheetFormatPr defaultRowHeight="12.75" x14ac:dyDescent="0.2"/>
  <cols>
    <col min="1" max="1" width="66" customWidth="1"/>
    <col min="2" max="10" width="16.42578125" customWidth="1"/>
    <col min="14" max="14" width="15.28515625" customWidth="1"/>
  </cols>
  <sheetData>
    <row r="1" spans="1:14" x14ac:dyDescent="0.2">
      <c r="A1" s="152" t="s">
        <v>143</v>
      </c>
      <c r="B1" s="176"/>
    </row>
    <row r="2" spans="1:14" ht="63.75" x14ac:dyDescent="0.2">
      <c r="A2" s="69" t="s">
        <v>97</v>
      </c>
      <c r="B2" s="69" t="s">
        <v>144</v>
      </c>
      <c r="C2" s="69" t="s">
        <v>99</v>
      </c>
      <c r="D2" s="69" t="s">
        <v>145</v>
      </c>
      <c r="E2" s="69" t="s">
        <v>146</v>
      </c>
      <c r="F2" s="69" t="s">
        <v>147</v>
      </c>
      <c r="G2" s="69" t="s">
        <v>9</v>
      </c>
      <c r="H2" s="69" t="s">
        <v>148</v>
      </c>
      <c r="I2" s="69"/>
      <c r="J2" s="120" t="s">
        <v>149</v>
      </c>
    </row>
    <row r="3" spans="1:14" ht="25.5" x14ac:dyDescent="0.2">
      <c r="A3" s="1" t="s">
        <v>103</v>
      </c>
      <c r="B3" s="88">
        <f>SUM('Project Data'!AO3,'Project Data'!AO4,'Project Data'!AO5,'Project Data'!AO7)</f>
        <v>278683</v>
      </c>
      <c r="C3" s="92">
        <f>B3*Inputs!$B$3</f>
        <v>222946.40000000002</v>
      </c>
      <c r="D3" s="92"/>
      <c r="E3" s="92"/>
      <c r="F3" s="92"/>
      <c r="G3" s="92"/>
      <c r="H3" s="88">
        <f>C3*'GBFF Pot'!$B$8</f>
        <v>20953.609022556397</v>
      </c>
      <c r="I3" s="88"/>
      <c r="J3" s="88">
        <f t="shared" ref="J3:J8" si="0">H3</f>
        <v>20953.609022556397</v>
      </c>
    </row>
    <row r="4" spans="1:14" x14ac:dyDescent="0.2">
      <c r="A4" s="1" t="s">
        <v>150</v>
      </c>
      <c r="B4" s="88">
        <f>SUM('Project Data'!AP3,'Project Data'!AP4,'Project Data'!AP5,'Project Data'!AP7)</f>
        <v>141291</v>
      </c>
      <c r="C4" s="92">
        <f>B4*Inputs!$B$3</f>
        <v>113032.8</v>
      </c>
      <c r="D4" s="92"/>
      <c r="E4" s="92"/>
      <c r="F4" s="92"/>
      <c r="G4" s="92"/>
      <c r="H4" s="88">
        <f>C4*'GBFF Pot'!$B$8</f>
        <v>10623.383458646618</v>
      </c>
      <c r="I4" s="88"/>
      <c r="J4" s="88">
        <f t="shared" si="0"/>
        <v>10623.383458646618</v>
      </c>
    </row>
    <row r="5" spans="1:14" ht="25.5" x14ac:dyDescent="0.2">
      <c r="A5" s="1" t="s">
        <v>151</v>
      </c>
      <c r="B5" s="88">
        <f>SUM('Aggregate Results'!B8:C8)</f>
        <v>70267643.449999988</v>
      </c>
      <c r="C5" s="88">
        <f>B5*Inputs!$B$3</f>
        <v>56214114.75999999</v>
      </c>
      <c r="D5" s="88"/>
      <c r="E5" s="88"/>
      <c r="F5" s="88"/>
      <c r="G5" s="88"/>
      <c r="H5" s="88">
        <f>C5*'GBFF Pot'!$B$8</f>
        <v>5283281.462406015</v>
      </c>
      <c r="I5" s="88"/>
      <c r="J5" s="88">
        <f t="shared" si="0"/>
        <v>5283281.462406015</v>
      </c>
      <c r="N5" s="209"/>
    </row>
    <row r="6" spans="1:14" ht="25.5" x14ac:dyDescent="0.2">
      <c r="A6" s="1" t="s">
        <v>105</v>
      </c>
      <c r="B6" s="91">
        <f>SUM('Project Data'!L3,'Project Data'!L4,'Project Data'!L5,'Project Data'!L6,'Project Data'!L7)</f>
        <v>129182532</v>
      </c>
      <c r="C6" s="91"/>
      <c r="D6" s="91"/>
      <c r="E6" s="91"/>
      <c r="F6" s="91">
        <f>B6*Inputs!$B$8</f>
        <v>64591266</v>
      </c>
      <c r="G6" s="142">
        <f>F6*Inputs!$B$4</f>
        <v>49089362.160000004</v>
      </c>
      <c r="H6" s="142">
        <f>G6*'GBFF Pot'!$B$8</f>
        <v>4613661.8571428582</v>
      </c>
      <c r="I6" s="142"/>
      <c r="J6" s="142">
        <f t="shared" si="0"/>
        <v>4613661.8571428582</v>
      </c>
      <c r="N6" s="209"/>
    </row>
    <row r="7" spans="1:14" ht="25.5" x14ac:dyDescent="0.2">
      <c r="A7" s="1" t="s">
        <v>106</v>
      </c>
      <c r="B7" s="91">
        <f>SUM('Project Data'!K3,'Project Data'!K4,'Project Data'!K5,'Project Data'!K6,'Project Data'!K7)</f>
        <v>16267000</v>
      </c>
      <c r="C7" s="91"/>
      <c r="D7" s="91"/>
      <c r="E7" s="91"/>
      <c r="F7" s="91">
        <f>B7*Inputs!$B$8</f>
        <v>8133500</v>
      </c>
      <c r="G7" s="142">
        <f>F7*Inputs!$B$4</f>
        <v>6181460</v>
      </c>
      <c r="H7" s="142">
        <f>G7*'GBFF Pot'!$B$8</f>
        <v>580964.2857142858</v>
      </c>
      <c r="I7" s="142"/>
      <c r="J7" s="142">
        <f t="shared" si="0"/>
        <v>580964.2857142858</v>
      </c>
      <c r="N7" s="91"/>
    </row>
    <row r="8" spans="1:14" ht="25.5" x14ac:dyDescent="0.2">
      <c r="A8" s="1" t="s">
        <v>152</v>
      </c>
      <c r="B8" s="88">
        <f>SUM('Aggregate Results'!B3:C7)</f>
        <v>44320796.530000001</v>
      </c>
      <c r="C8" s="88">
        <f>B8*Inputs!$B$3</f>
        <v>35456637.223999999</v>
      </c>
      <c r="D8" s="88">
        <f>C8*Inputs!B6</f>
        <v>33683805.362799995</v>
      </c>
      <c r="E8" s="91"/>
      <c r="F8" s="88"/>
      <c r="G8" s="142"/>
      <c r="H8" s="88">
        <f>D8*'GBFF Pot'!$B$8</f>
        <v>3165771.1807142855</v>
      </c>
      <c r="I8" s="88"/>
      <c r="J8" s="88">
        <f t="shared" si="0"/>
        <v>3165771.1807142855</v>
      </c>
    </row>
    <row r="9" spans="1:14" x14ac:dyDescent="0.2">
      <c r="C9" s="88"/>
      <c r="E9" s="91"/>
      <c r="H9" s="88"/>
    </row>
    <row r="11" spans="1:14" x14ac:dyDescent="0.2">
      <c r="A11" s="1"/>
      <c r="B11" s="87"/>
      <c r="C11" s="92"/>
      <c r="D11" s="92"/>
      <c r="E11" s="92"/>
      <c r="F11" s="92"/>
      <c r="G11" s="142"/>
      <c r="H11" s="88"/>
      <c r="I11" s="88"/>
      <c r="J11" s="88"/>
    </row>
    <row r="12" spans="1:14" x14ac:dyDescent="0.2">
      <c r="A12" s="120" t="s">
        <v>108</v>
      </c>
      <c r="B12" s="87"/>
      <c r="C12" s="92"/>
      <c r="D12" s="92"/>
      <c r="E12" s="92"/>
      <c r="F12" s="92"/>
      <c r="G12" s="142"/>
      <c r="H12" s="88"/>
      <c r="I12" s="88"/>
      <c r="J12" s="88"/>
    </row>
    <row r="13" spans="1:14" x14ac:dyDescent="0.2">
      <c r="A13" s="1" t="s">
        <v>126</v>
      </c>
      <c r="B13" s="88">
        <f>'Aggregate Results'!F3</f>
        <v>11238703.09</v>
      </c>
      <c r="C13" s="92">
        <f>B13*Inputs!$B$3</f>
        <v>8990962.472000001</v>
      </c>
      <c r="D13" s="92"/>
      <c r="E13" s="92"/>
      <c r="F13" s="92"/>
      <c r="G13" s="142"/>
      <c r="H13" s="88">
        <f>C13*'GBFF Pot'!$B$8</f>
        <v>845015.26992481225</v>
      </c>
      <c r="I13" s="88"/>
      <c r="J13" s="88">
        <f t="shared" ref="J13:J22" si="1">H13</f>
        <v>845015.26992481225</v>
      </c>
    </row>
    <row r="14" spans="1:14" x14ac:dyDescent="0.2">
      <c r="A14" s="1" t="s">
        <v>127</v>
      </c>
      <c r="B14" s="88">
        <f>'Aggregate Results'!F4</f>
        <v>22357179.84</v>
      </c>
      <c r="C14" s="92">
        <f>B14*Inputs!$B$3</f>
        <v>17885743.872000001</v>
      </c>
      <c r="D14" s="92"/>
      <c r="E14" s="92"/>
      <c r="F14" s="92"/>
      <c r="G14" s="142"/>
      <c r="H14" s="88">
        <f>C14*'GBFF Pot'!$B$8</f>
        <v>1680990.9654135341</v>
      </c>
      <c r="I14" s="88"/>
      <c r="J14" s="88">
        <f t="shared" si="1"/>
        <v>1680990.9654135341</v>
      </c>
    </row>
    <row r="15" spans="1:14" x14ac:dyDescent="0.2">
      <c r="A15" s="1" t="s">
        <v>128</v>
      </c>
      <c r="B15" s="88">
        <f>'Aggregate Results'!F5</f>
        <v>15000</v>
      </c>
      <c r="C15" s="92">
        <f>B15*Inputs!$B$3</f>
        <v>12000</v>
      </c>
      <c r="D15" s="92"/>
      <c r="E15" s="92"/>
      <c r="F15" s="92"/>
      <c r="G15" s="142"/>
      <c r="H15" s="88">
        <f>C15*'GBFF Pot'!$B$8</f>
        <v>1127.8195488721806</v>
      </c>
      <c r="I15" s="88"/>
      <c r="J15" s="88">
        <f t="shared" si="1"/>
        <v>1127.8195488721806</v>
      </c>
    </row>
    <row r="16" spans="1:14" x14ac:dyDescent="0.2">
      <c r="A16" s="1" t="s">
        <v>129</v>
      </c>
      <c r="B16" s="88">
        <f>'Aggregate Results'!F6</f>
        <v>10709913.6</v>
      </c>
      <c r="C16" s="92">
        <f>B16*Inputs!$B$3</f>
        <v>8567930.8800000008</v>
      </c>
      <c r="D16" s="92"/>
      <c r="E16" s="92"/>
      <c r="F16" s="92"/>
      <c r="G16" s="142"/>
      <c r="H16" s="88">
        <f>C16*'GBFF Pot'!$B$8</f>
        <v>805256.66165413545</v>
      </c>
      <c r="I16" s="88"/>
      <c r="J16" s="88">
        <f t="shared" si="1"/>
        <v>805256.66165413545</v>
      </c>
    </row>
    <row r="17" spans="1:10" x14ac:dyDescent="0.2">
      <c r="A17" s="1" t="s">
        <v>130</v>
      </c>
      <c r="B17" s="88">
        <f>'Aggregate Results'!F7</f>
        <v>0</v>
      </c>
      <c r="C17" s="92">
        <f>B17*Inputs!$B$3</f>
        <v>0</v>
      </c>
      <c r="D17" s="92"/>
      <c r="E17" s="92"/>
      <c r="F17" s="92"/>
      <c r="G17" s="142"/>
      <c r="H17" s="88">
        <f>C17*'GBFF Pot'!$B$8</f>
        <v>0</v>
      </c>
      <c r="I17" s="88"/>
      <c r="J17" s="88">
        <f t="shared" si="1"/>
        <v>0</v>
      </c>
    </row>
    <row r="18" spans="1:10" ht="25.5" x14ac:dyDescent="0.2">
      <c r="A18" s="1" t="s">
        <v>153</v>
      </c>
      <c r="B18" s="88">
        <f>'Aggregate Results'!F9</f>
        <v>304253</v>
      </c>
      <c r="C18" s="92">
        <f>B18*Inputs!$B$3</f>
        <v>243402.40000000002</v>
      </c>
      <c r="D18" s="92"/>
      <c r="E18" s="92"/>
      <c r="F18" s="92"/>
      <c r="G18" s="142"/>
      <c r="H18" s="88">
        <f>C18*'GBFF Pot'!$B$8</f>
        <v>22876.165413533839</v>
      </c>
      <c r="I18" s="88"/>
      <c r="J18" s="88">
        <f t="shared" si="1"/>
        <v>22876.165413533839</v>
      </c>
    </row>
    <row r="19" spans="1:10" x14ac:dyDescent="0.2">
      <c r="A19" s="1" t="s">
        <v>154</v>
      </c>
      <c r="B19" s="88">
        <f>'Aggregate Results'!F10</f>
        <v>153306</v>
      </c>
      <c r="C19" s="92">
        <f>B19*Inputs!$B$3</f>
        <v>122644.8</v>
      </c>
      <c r="D19" s="92"/>
      <c r="E19" s="92"/>
      <c r="F19" s="92"/>
      <c r="G19" s="142"/>
      <c r="H19" s="88">
        <f>C19*'GBFF Pot'!$B$8</f>
        <v>11526.766917293235</v>
      </c>
      <c r="I19" s="88"/>
      <c r="J19" s="88">
        <f t="shared" si="1"/>
        <v>11526.766917293235</v>
      </c>
    </row>
    <row r="20" spans="1:10" x14ac:dyDescent="0.2">
      <c r="A20" s="1" t="s">
        <v>155</v>
      </c>
      <c r="B20" s="91">
        <f>'Aggregate Results'!F11</f>
        <v>175982847.43000001</v>
      </c>
      <c r="C20" s="92"/>
      <c r="D20" s="92"/>
      <c r="E20" s="91"/>
      <c r="F20" s="91"/>
      <c r="G20" s="142">
        <f>B20*Inputs!$B$4</f>
        <v>133746964.0468</v>
      </c>
      <c r="H20" s="142">
        <f>G20*'GBFF Pot'!$B$8</f>
        <v>12570203.387857145</v>
      </c>
      <c r="I20" s="142"/>
      <c r="J20" s="142">
        <f t="shared" si="1"/>
        <v>12570203.387857145</v>
      </c>
    </row>
    <row r="21" spans="1:10" x14ac:dyDescent="0.2">
      <c r="A21" s="1" t="s">
        <v>156</v>
      </c>
      <c r="B21" s="91">
        <f>'Aggregate Results'!F12</f>
        <v>159715847.43000001</v>
      </c>
      <c r="C21" s="92"/>
      <c r="D21" s="92"/>
      <c r="E21" s="91"/>
      <c r="F21" s="91"/>
      <c r="G21" s="142">
        <f>B21*Inputs!$B$4</f>
        <v>121384044.0468</v>
      </c>
      <c r="H21" s="142">
        <f>G21*'GBFF Pot'!$B$8</f>
        <v>11408274.816428572</v>
      </c>
      <c r="I21" s="142"/>
      <c r="J21" s="142">
        <f t="shared" si="1"/>
        <v>11408274.816428572</v>
      </c>
    </row>
    <row r="22" spans="1:10" x14ac:dyDescent="0.2">
      <c r="A22" s="1" t="s">
        <v>157</v>
      </c>
      <c r="B22" s="91">
        <f>'Aggregate Results'!F13</f>
        <v>16267000</v>
      </c>
      <c r="C22" s="92"/>
      <c r="D22" s="92"/>
      <c r="E22" s="91"/>
      <c r="F22" s="91"/>
      <c r="G22" s="142">
        <f>B22*Inputs!$B$4</f>
        <v>12362920</v>
      </c>
      <c r="H22" s="142">
        <f>G22*'GBFF Pot'!$B$8</f>
        <v>1161928.5714285716</v>
      </c>
      <c r="I22" s="142"/>
      <c r="J22" s="142">
        <f t="shared" si="1"/>
        <v>1161928.5714285716</v>
      </c>
    </row>
    <row r="23" spans="1:10" x14ac:dyDescent="0.2">
      <c r="A23" s="1" t="s">
        <v>158</v>
      </c>
      <c r="B23" s="90">
        <f>B20/SUM('Aggregate Results'!B19:C19)</f>
        <v>2.6596192696771617</v>
      </c>
      <c r="C23" s="92"/>
      <c r="D23" s="92"/>
      <c r="E23" s="91"/>
      <c r="F23" s="91"/>
      <c r="G23" s="142"/>
      <c r="H23" s="142"/>
      <c r="I23" s="142"/>
      <c r="J23" s="92">
        <f>B23</f>
        <v>2.6596192696771617</v>
      </c>
    </row>
    <row r="24" spans="1:10" x14ac:dyDescent="0.2">
      <c r="A24" s="1" t="s">
        <v>159</v>
      </c>
      <c r="B24" s="91">
        <f>'Aggregate Results'!F14</f>
        <v>7994243.333333333</v>
      </c>
      <c r="C24" s="92"/>
      <c r="D24" s="92"/>
      <c r="E24" s="91">
        <f>B24*Inputs!$B$7</f>
        <v>6395394.666666667</v>
      </c>
      <c r="F24" s="91">
        <f>E24*Inputs!$B$8</f>
        <v>3197697.3333333335</v>
      </c>
      <c r="G24" s="142">
        <f>F24*Inputs!$B$4</f>
        <v>2430249.9733333336</v>
      </c>
      <c r="H24" s="142">
        <f>G24*'GBFF Pot'!$B$8</f>
        <v>228406.95238095243</v>
      </c>
      <c r="I24" s="142"/>
      <c r="J24" s="142">
        <f>H24</f>
        <v>228406.95238095243</v>
      </c>
    </row>
    <row r="25" spans="1:10" x14ac:dyDescent="0.2">
      <c r="A25" s="1" t="s">
        <v>160</v>
      </c>
      <c r="B25" s="67">
        <f>B24/SUM('Aggregate Results'!B19:C19)</f>
        <v>0.12081656778669111</v>
      </c>
      <c r="C25" s="92"/>
      <c r="D25" s="92"/>
      <c r="E25" s="91"/>
      <c r="F25" s="91"/>
      <c r="G25" s="142"/>
      <c r="H25" s="142"/>
      <c r="I25" s="142"/>
      <c r="J25" s="67">
        <f>B25</f>
        <v>0.12081656778669111</v>
      </c>
    </row>
    <row r="26" spans="1:10" x14ac:dyDescent="0.2">
      <c r="A26" s="1" t="s">
        <v>161</v>
      </c>
      <c r="B26" s="91">
        <f>'Aggregate Results'!F15</f>
        <v>0</v>
      </c>
      <c r="C26" s="92"/>
      <c r="D26" s="92"/>
      <c r="E26" s="91">
        <f>B26*Inputs!$B$7</f>
        <v>0</v>
      </c>
      <c r="F26" s="91">
        <f>E26*Inputs!$B$8</f>
        <v>0</v>
      </c>
      <c r="G26" s="142">
        <f>F26*Inputs!$B$4</f>
        <v>0</v>
      </c>
      <c r="H26" s="142">
        <f>G26*'GBFF Pot'!$B$8</f>
        <v>0</v>
      </c>
      <c r="I26" s="142"/>
      <c r="J26" s="142">
        <f>H26</f>
        <v>0</v>
      </c>
    </row>
    <row r="27" spans="1:10" x14ac:dyDescent="0.2">
      <c r="A27" s="1" t="s">
        <v>162</v>
      </c>
      <c r="B27" s="67">
        <f>B26/SUM('Aggregate Results'!B19:C19)</f>
        <v>0</v>
      </c>
      <c r="C27" s="92"/>
      <c r="D27" s="92"/>
      <c r="E27" s="91"/>
      <c r="F27" s="91"/>
      <c r="G27" s="142"/>
      <c r="H27" s="142"/>
      <c r="I27" s="142"/>
      <c r="J27" s="67">
        <f>H27</f>
        <v>0</v>
      </c>
    </row>
    <row r="28" spans="1:10" x14ac:dyDescent="0.2">
      <c r="A28" s="1" t="s">
        <v>163</v>
      </c>
      <c r="B28" s="91">
        <f>'Aggregate Results'!F16</f>
        <v>28817966</v>
      </c>
      <c r="C28" s="92"/>
      <c r="D28" s="92"/>
      <c r="E28" s="91">
        <f>B28*Inputs!$B$7</f>
        <v>23054372.800000001</v>
      </c>
      <c r="F28" s="91">
        <f>E28*Inputs!$B$8</f>
        <v>11527186.4</v>
      </c>
      <c r="G28" s="142">
        <f>F28*Inputs!$B$4</f>
        <v>8760661.6640000008</v>
      </c>
      <c r="H28" s="142">
        <f>G28*'GBFF Pot'!$B$8</f>
        <v>823370.45714285725</v>
      </c>
      <c r="I28" s="142"/>
      <c r="J28" s="142">
        <f>H28</f>
        <v>823370.45714285725</v>
      </c>
    </row>
    <row r="29" spans="1:10" x14ac:dyDescent="0.2">
      <c r="A29" t="s">
        <v>164</v>
      </c>
      <c r="B29" s="67">
        <f>B28/SUM('Aggregate Results'!B19:C19)</f>
        <v>0.4355243639127272</v>
      </c>
      <c r="J29" s="67">
        <f>B29</f>
        <v>0.4355243639127272</v>
      </c>
    </row>
    <row r="31" spans="1:10" ht="161.25" customHeight="1" x14ac:dyDescent="0.2">
      <c r="A31" s="225" t="s">
        <v>165</v>
      </c>
      <c r="B31" s="224"/>
      <c r="C31" s="224"/>
      <c r="D31" s="224"/>
      <c r="E31" s="224"/>
      <c r="F31" s="224"/>
    </row>
    <row r="32" spans="1:10" x14ac:dyDescent="0.2">
      <c r="A32" s="66" t="s">
        <v>166</v>
      </c>
      <c r="B32" s="88"/>
      <c r="C32" s="88"/>
      <c r="D32" s="88"/>
      <c r="E32" s="88"/>
      <c r="F32" s="88"/>
      <c r="G32" s="142"/>
      <c r="H32" s="88"/>
      <c r="I32" s="88"/>
      <c r="J32" s="88"/>
    </row>
  </sheetData>
  <mergeCells count="1">
    <mergeCell ref="A31:F31"/>
  </mergeCells>
  <hyperlinks>
    <hyperlink ref="A32" r:id="rId1" xr:uid="{CA2809AF-6E95-4985-B8A3-187A2DA2C87B}"/>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2B71D-016B-482D-B5B9-94BE6BAC2D8C}">
  <sheetPr>
    <tabColor rgb="FF00B0F0"/>
    <pageSetUpPr fitToPage="1"/>
  </sheetPr>
  <dimension ref="A1:T88"/>
  <sheetViews>
    <sheetView tabSelected="1" zoomScaleNormal="100" workbookViewId="0">
      <selection activeCell="B2" sqref="B2"/>
    </sheetView>
  </sheetViews>
  <sheetFormatPr defaultColWidth="9.140625" defaultRowHeight="12.75" x14ac:dyDescent="0.2"/>
  <cols>
    <col min="1" max="1" width="30.5703125" style="5" customWidth="1"/>
    <col min="2" max="2" width="42.5703125" style="5" customWidth="1"/>
    <col min="3" max="3" width="9.5703125" style="5" customWidth="1"/>
    <col min="4" max="4" width="27.42578125" style="5" bestFit="1" customWidth="1"/>
    <col min="5" max="5" width="25.5703125" style="5" bestFit="1" customWidth="1"/>
    <col min="6" max="6" width="24.85546875" style="5" bestFit="1" customWidth="1"/>
    <col min="7" max="7" width="26.85546875" style="5" bestFit="1" customWidth="1"/>
    <col min="8" max="8" width="20.85546875" style="5" hidden="1" customWidth="1"/>
    <col min="9" max="9" width="101.28515625" style="5" customWidth="1"/>
    <col min="10" max="10" width="9.140625" style="64"/>
    <col min="11" max="16384" width="9.140625" style="5"/>
  </cols>
  <sheetData>
    <row r="1" spans="1:20" ht="13.5" thickBot="1" x14ac:dyDescent="0.25">
      <c r="A1" s="3" t="s">
        <v>167</v>
      </c>
      <c r="B1" s="226" t="s">
        <v>270</v>
      </c>
      <c r="C1" s="227"/>
      <c r="D1" s="227"/>
      <c r="E1" s="227"/>
      <c r="F1" s="227"/>
      <c r="G1" s="227"/>
      <c r="H1" s="227"/>
      <c r="I1" s="228"/>
    </row>
    <row r="2" spans="1:20" ht="13.5" thickBot="1" x14ac:dyDescent="0.25">
      <c r="A2" s="6" t="s">
        <v>168</v>
      </c>
      <c r="B2" s="3" t="s">
        <v>169</v>
      </c>
      <c r="C2" s="8"/>
      <c r="D2" s="9" t="s">
        <v>170</v>
      </c>
      <c r="E2" s="10" t="s">
        <v>171</v>
      </c>
      <c r="F2" s="10" t="s">
        <v>172</v>
      </c>
      <c r="G2" s="10" t="s">
        <v>173</v>
      </c>
      <c r="H2" s="10" t="s">
        <v>174</v>
      </c>
      <c r="I2" s="11" t="s">
        <v>175</v>
      </c>
    </row>
    <row r="3" spans="1:20" ht="84" customHeight="1" x14ac:dyDescent="0.2">
      <c r="A3" s="229" t="s">
        <v>176</v>
      </c>
      <c r="B3" s="229" t="s">
        <v>177</v>
      </c>
      <c r="C3" s="12" t="s">
        <v>178</v>
      </c>
      <c r="D3" s="13" t="s">
        <v>179</v>
      </c>
      <c r="E3" s="13" t="s">
        <v>180</v>
      </c>
      <c r="F3" s="14" t="s">
        <v>181</v>
      </c>
      <c r="G3" s="14" t="s">
        <v>182</v>
      </c>
      <c r="H3" s="4" t="s">
        <v>183</v>
      </c>
      <c r="I3" s="231" t="s">
        <v>184</v>
      </c>
    </row>
    <row r="4" spans="1:20" x14ac:dyDescent="0.2">
      <c r="A4" s="230"/>
      <c r="B4" s="230"/>
      <c r="C4" s="15" t="s">
        <v>185</v>
      </c>
      <c r="D4" s="14" t="s">
        <v>186</v>
      </c>
      <c r="E4" s="14" t="s">
        <v>187</v>
      </c>
      <c r="F4" s="14"/>
      <c r="G4" s="14"/>
      <c r="H4" s="16"/>
      <c r="I4" s="232"/>
    </row>
    <row r="5" spans="1:20" ht="13.5" thickBot="1" x14ac:dyDescent="0.25">
      <c r="A5" s="230"/>
      <c r="B5" s="230"/>
      <c r="C5" s="193"/>
      <c r="D5" s="234" t="s">
        <v>188</v>
      </c>
      <c r="E5" s="235"/>
      <c r="F5" s="235"/>
      <c r="G5" s="235"/>
      <c r="H5" s="235"/>
      <c r="I5" s="232"/>
      <c r="T5" s="208"/>
    </row>
    <row r="6" spans="1:20" x14ac:dyDescent="0.2">
      <c r="A6" s="230"/>
      <c r="B6" s="230"/>
      <c r="C6" s="27"/>
      <c r="D6" s="236" t="s">
        <v>189</v>
      </c>
      <c r="E6" s="237"/>
      <c r="F6" s="237"/>
      <c r="G6" s="237"/>
      <c r="H6" s="237"/>
      <c r="I6" s="233"/>
    </row>
    <row r="7" spans="1:20" ht="13.5" thickBot="1" x14ac:dyDescent="0.25">
      <c r="A7" s="20" t="s">
        <v>190</v>
      </c>
      <c r="B7" s="3" t="s">
        <v>191</v>
      </c>
      <c r="C7" s="188"/>
      <c r="D7" s="9" t="s">
        <v>170</v>
      </c>
      <c r="E7" s="10" t="s">
        <v>171</v>
      </c>
      <c r="F7" s="10" t="s">
        <v>172</v>
      </c>
      <c r="G7" s="10" t="s">
        <v>173</v>
      </c>
      <c r="H7" s="194" t="s">
        <v>174</v>
      </c>
      <c r="I7" s="197" t="s">
        <v>175</v>
      </c>
    </row>
    <row r="8" spans="1:20" ht="25.5" customHeight="1" thickBot="1" x14ac:dyDescent="0.25">
      <c r="A8" s="238" t="s">
        <v>192</v>
      </c>
      <c r="B8" s="229" t="s">
        <v>193</v>
      </c>
      <c r="C8" s="79" t="s">
        <v>178</v>
      </c>
      <c r="D8" s="261" t="s">
        <v>194</v>
      </c>
      <c r="E8" s="262"/>
      <c r="F8" s="262"/>
      <c r="G8" s="263"/>
      <c r="H8" s="195" t="s">
        <v>183</v>
      </c>
      <c r="I8" s="242" t="s">
        <v>195</v>
      </c>
    </row>
    <row r="9" spans="1:20" ht="13.5" thickBot="1" x14ac:dyDescent="0.25">
      <c r="A9" s="239"/>
      <c r="B9" s="230"/>
      <c r="C9" s="189" t="s">
        <v>185</v>
      </c>
      <c r="D9" s="191"/>
      <c r="E9" s="192">
        <f>'AR25 Results'!J3</f>
        <v>20953.609022556397</v>
      </c>
      <c r="F9" s="193"/>
      <c r="G9" s="193"/>
      <c r="H9" s="193"/>
      <c r="I9" s="230"/>
    </row>
    <row r="10" spans="1:20" ht="13.5" thickBot="1" x14ac:dyDescent="0.25">
      <c r="A10" s="239"/>
      <c r="B10" s="230"/>
      <c r="C10" s="17"/>
      <c r="D10" s="243" t="s">
        <v>188</v>
      </c>
      <c r="E10" s="244"/>
      <c r="F10" s="244"/>
      <c r="G10" s="244"/>
      <c r="H10" s="245"/>
      <c r="I10" s="230"/>
    </row>
    <row r="11" spans="1:20" ht="12.95" customHeight="1" thickBot="1" x14ac:dyDescent="0.25">
      <c r="A11" s="239"/>
      <c r="B11" s="241"/>
      <c r="C11" s="24"/>
      <c r="D11" s="246" t="s">
        <v>196</v>
      </c>
      <c r="E11" s="247"/>
      <c r="F11" s="247"/>
      <c r="G11" s="247"/>
      <c r="H11" s="248"/>
      <c r="I11" s="230"/>
    </row>
    <row r="12" spans="1:20" ht="13.5" thickBot="1" x14ac:dyDescent="0.25">
      <c r="A12" s="239"/>
      <c r="B12" s="3" t="s">
        <v>197</v>
      </c>
      <c r="C12" s="188"/>
      <c r="D12" s="9" t="s">
        <v>170</v>
      </c>
      <c r="E12" s="183" t="s">
        <v>171</v>
      </c>
      <c r="F12" s="183" t="s">
        <v>172</v>
      </c>
      <c r="G12" s="183" t="s">
        <v>173</v>
      </c>
      <c r="H12" s="10" t="s">
        <v>174</v>
      </c>
      <c r="I12" s="230"/>
    </row>
    <row r="13" spans="1:20" ht="14.45" customHeight="1" thickBot="1" x14ac:dyDescent="0.25">
      <c r="A13" s="239"/>
      <c r="B13" s="249" t="s">
        <v>198</v>
      </c>
      <c r="C13" s="79" t="s">
        <v>178</v>
      </c>
      <c r="D13" s="198" t="s">
        <v>199</v>
      </c>
      <c r="E13" s="85">
        <f>Milestones!E4/1000000</f>
        <v>6.7506955200000007</v>
      </c>
      <c r="F13" s="85">
        <f>Milestones!F4/1000000</f>
        <v>21.377202480000001</v>
      </c>
      <c r="G13" s="85">
        <f>Milestones!G4/1000000</f>
        <v>24.752550240000005</v>
      </c>
      <c r="H13" s="21"/>
      <c r="I13" s="230"/>
      <c r="K13" s="65"/>
    </row>
    <row r="14" spans="1:20" ht="13.5" thickBot="1" x14ac:dyDescent="0.25">
      <c r="A14" s="239"/>
      <c r="B14" s="250"/>
      <c r="C14" s="189" t="s">
        <v>185</v>
      </c>
      <c r="D14" s="22"/>
      <c r="E14" s="75">
        <f>'AR25 Results'!J5/1000000</f>
        <v>5.2832814624060154</v>
      </c>
      <c r="F14" s="14"/>
      <c r="G14" s="14"/>
      <c r="H14" s="14"/>
      <c r="I14" s="230"/>
      <c r="K14" s="64"/>
    </row>
    <row r="15" spans="1:20" ht="13.5" thickBot="1" x14ac:dyDescent="0.25">
      <c r="A15" s="239"/>
      <c r="B15" s="250"/>
      <c r="C15" s="17"/>
      <c r="D15" s="234" t="s">
        <v>188</v>
      </c>
      <c r="E15" s="235"/>
      <c r="F15" s="235"/>
      <c r="G15" s="235"/>
      <c r="H15" s="252"/>
      <c r="I15" s="230"/>
    </row>
    <row r="16" spans="1:20" ht="13.5" customHeight="1" thickBot="1" x14ac:dyDescent="0.25">
      <c r="A16" s="239"/>
      <c r="B16" s="251"/>
      <c r="C16" s="24"/>
      <c r="D16" s="246" t="s">
        <v>200</v>
      </c>
      <c r="E16" s="247"/>
      <c r="F16" s="247"/>
      <c r="G16" s="247"/>
      <c r="H16" s="248"/>
      <c r="I16" s="230"/>
    </row>
    <row r="17" spans="1:15" ht="13.5" thickBot="1" x14ac:dyDescent="0.25">
      <c r="A17" s="239"/>
      <c r="B17" s="3" t="s">
        <v>201</v>
      </c>
      <c r="C17" s="188"/>
      <c r="D17" s="9" t="s">
        <v>170</v>
      </c>
      <c r="E17" s="10" t="s">
        <v>171</v>
      </c>
      <c r="F17" s="10" t="s">
        <v>172</v>
      </c>
      <c r="G17" s="10" t="s">
        <v>173</v>
      </c>
      <c r="H17" s="10" t="s">
        <v>174</v>
      </c>
      <c r="I17" s="230"/>
    </row>
    <row r="18" spans="1:15" ht="13.5" thickBot="1" x14ac:dyDescent="0.25">
      <c r="A18" s="239"/>
      <c r="B18" s="229" t="s">
        <v>202</v>
      </c>
      <c r="C18" s="79" t="s">
        <v>178</v>
      </c>
      <c r="D18" s="264" t="s">
        <v>203</v>
      </c>
      <c r="E18" s="265"/>
      <c r="F18" s="265"/>
      <c r="G18" s="266"/>
      <c r="H18" s="26" t="s">
        <v>183</v>
      </c>
      <c r="I18" s="230"/>
    </row>
    <row r="19" spans="1:15" ht="13.5" thickBot="1" x14ac:dyDescent="0.25">
      <c r="A19" s="239"/>
      <c r="B19" s="230"/>
      <c r="C19" s="189" t="s">
        <v>185</v>
      </c>
      <c r="D19" s="22"/>
      <c r="E19" s="75">
        <f>'AR25 Results'!J6/1000000</f>
        <v>4.6136618571428585</v>
      </c>
      <c r="F19" s="89"/>
      <c r="G19" s="89"/>
      <c r="H19" s="14"/>
      <c r="I19" s="230"/>
    </row>
    <row r="20" spans="1:15" ht="13.5" thickBot="1" x14ac:dyDescent="0.25">
      <c r="A20" s="239"/>
      <c r="B20" s="230"/>
      <c r="C20" s="17"/>
      <c r="D20" s="234" t="s">
        <v>188</v>
      </c>
      <c r="E20" s="235"/>
      <c r="F20" s="235"/>
      <c r="G20" s="235"/>
      <c r="H20" s="252"/>
      <c r="I20" s="230"/>
    </row>
    <row r="21" spans="1:15" ht="13.5" customHeight="1" thickBot="1" x14ac:dyDescent="0.25">
      <c r="A21" s="239"/>
      <c r="B21" s="241"/>
      <c r="C21" s="24"/>
      <c r="D21" s="246" t="s">
        <v>204</v>
      </c>
      <c r="E21" s="247"/>
      <c r="F21" s="247"/>
      <c r="G21" s="247"/>
      <c r="H21" s="248"/>
      <c r="I21" s="230"/>
    </row>
    <row r="22" spans="1:15" ht="12.95" customHeight="1" thickBot="1" x14ac:dyDescent="0.25">
      <c r="A22" s="239"/>
      <c r="B22" s="3" t="s">
        <v>205</v>
      </c>
      <c r="C22" s="188"/>
      <c r="D22" s="9" t="s">
        <v>170</v>
      </c>
      <c r="E22" s="10" t="s">
        <v>171</v>
      </c>
      <c r="F22" s="10" t="s">
        <v>172</v>
      </c>
      <c r="G22" s="10" t="s">
        <v>173</v>
      </c>
      <c r="H22" s="10" t="s">
        <v>174</v>
      </c>
      <c r="I22" s="230"/>
    </row>
    <row r="23" spans="1:15" ht="13.5" thickBot="1" x14ac:dyDescent="0.25">
      <c r="A23" s="239"/>
      <c r="B23" s="229" t="s">
        <v>206</v>
      </c>
      <c r="C23" s="79" t="s">
        <v>178</v>
      </c>
      <c r="D23" s="264" t="s">
        <v>203</v>
      </c>
      <c r="E23" s="265"/>
      <c r="F23" s="265"/>
      <c r="G23" s="266"/>
      <c r="H23" s="21" t="s">
        <v>183</v>
      </c>
      <c r="I23" s="230"/>
    </row>
    <row r="24" spans="1:15" ht="13.5" thickBot="1" x14ac:dyDescent="0.25">
      <c r="A24" s="239"/>
      <c r="B24" s="230"/>
      <c r="C24" s="189" t="s">
        <v>185</v>
      </c>
      <c r="D24" s="22"/>
      <c r="E24" s="75">
        <f>'AR25 Results'!J7/1000000</f>
        <v>0.58096428571428582</v>
      </c>
      <c r="F24" s="89"/>
      <c r="G24" s="89"/>
      <c r="H24" s="14"/>
      <c r="I24" s="230"/>
      <c r="K24" s="40"/>
      <c r="L24" s="40"/>
    </row>
    <row r="25" spans="1:15" ht="13.5" thickBot="1" x14ac:dyDescent="0.25">
      <c r="A25" s="239"/>
      <c r="B25" s="230"/>
      <c r="C25" s="17"/>
      <c r="D25" s="234" t="s">
        <v>188</v>
      </c>
      <c r="E25" s="235"/>
      <c r="F25" s="235"/>
      <c r="G25" s="235"/>
      <c r="H25" s="252"/>
      <c r="I25" s="230"/>
      <c r="K25" s="40"/>
      <c r="L25" s="40"/>
      <c r="M25" s="40"/>
      <c r="N25" s="40"/>
      <c r="O25" s="40"/>
    </row>
    <row r="26" spans="1:15" ht="13.5" customHeight="1" thickBot="1" x14ac:dyDescent="0.25">
      <c r="A26" s="239"/>
      <c r="B26" s="241"/>
      <c r="C26" s="24"/>
      <c r="D26" s="246" t="s">
        <v>204</v>
      </c>
      <c r="E26" s="247"/>
      <c r="F26" s="247"/>
      <c r="G26" s="247"/>
      <c r="H26" s="248"/>
      <c r="I26" s="230"/>
      <c r="K26" s="40"/>
      <c r="L26" s="40"/>
      <c r="M26" s="40"/>
      <c r="N26" s="40"/>
      <c r="O26" s="40"/>
    </row>
    <row r="27" spans="1:15" ht="13.5" thickBot="1" x14ac:dyDescent="0.25">
      <c r="A27" s="239"/>
      <c r="B27" s="3" t="s">
        <v>207</v>
      </c>
      <c r="C27" s="190"/>
      <c r="D27" s="9" t="s">
        <v>170</v>
      </c>
      <c r="E27" s="10" t="s">
        <v>171</v>
      </c>
      <c r="F27" s="10" t="s">
        <v>172</v>
      </c>
      <c r="G27" s="10" t="s">
        <v>173</v>
      </c>
      <c r="H27" s="10" t="s">
        <v>174</v>
      </c>
      <c r="I27" s="230"/>
    </row>
    <row r="28" spans="1:15" ht="13.5" customHeight="1" thickBot="1" x14ac:dyDescent="0.25">
      <c r="A28" s="239"/>
      <c r="B28" s="249" t="s">
        <v>208</v>
      </c>
      <c r="C28" s="79" t="s">
        <v>178</v>
      </c>
      <c r="D28" s="198" t="s">
        <v>199</v>
      </c>
      <c r="E28" s="85">
        <f>Milestones!E7/1000000</f>
        <v>3.7764818399999998</v>
      </c>
      <c r="F28" s="85">
        <f>Milestones!F7/1000000</f>
        <v>11.958859159999999</v>
      </c>
      <c r="G28" s="85">
        <f>Milestones!G7/1000000</f>
        <v>13.847100080000002</v>
      </c>
      <c r="H28" s="26"/>
      <c r="I28" s="230"/>
    </row>
    <row r="29" spans="1:15" ht="13.5" thickBot="1" x14ac:dyDescent="0.25">
      <c r="A29" s="239"/>
      <c r="B29" s="250"/>
      <c r="C29" s="189" t="s">
        <v>185</v>
      </c>
      <c r="D29" s="22"/>
      <c r="E29" s="184">
        <f>'AR25 Results'!J8/1000000</f>
        <v>3.1657711807142856</v>
      </c>
      <c r="F29" s="185"/>
      <c r="G29" s="186"/>
      <c r="H29" s="14"/>
      <c r="I29" s="230"/>
    </row>
    <row r="30" spans="1:15" ht="13.5" thickBot="1" x14ac:dyDescent="0.25">
      <c r="A30" s="239"/>
      <c r="B30" s="250"/>
      <c r="C30" s="17"/>
      <c r="D30" s="234" t="s">
        <v>209</v>
      </c>
      <c r="E30" s="235"/>
      <c r="F30" s="235"/>
      <c r="G30" s="235"/>
      <c r="H30" s="252"/>
      <c r="I30" s="230"/>
    </row>
    <row r="31" spans="1:15" ht="17.25" customHeight="1" thickBot="1" x14ac:dyDescent="0.25">
      <c r="A31" s="240"/>
      <c r="B31" s="251"/>
      <c r="C31" s="24"/>
      <c r="D31" s="246" t="s">
        <v>200</v>
      </c>
      <c r="E31" s="247"/>
      <c r="F31" s="247"/>
      <c r="G31" s="247"/>
      <c r="H31" s="248"/>
      <c r="I31" s="241"/>
    </row>
    <row r="32" spans="1:15" ht="13.5" thickBot="1" x14ac:dyDescent="0.25">
      <c r="A32" s="28" t="s">
        <v>210</v>
      </c>
      <c r="B32" s="29" t="s">
        <v>211</v>
      </c>
      <c r="C32" s="29"/>
      <c r="D32" s="29" t="s">
        <v>212</v>
      </c>
      <c r="E32" s="29"/>
      <c r="F32" s="29"/>
      <c r="G32" s="30"/>
      <c r="H32" s="270"/>
      <c r="I32" s="271"/>
    </row>
    <row r="33" spans="1:10" ht="13.5" thickBot="1" x14ac:dyDescent="0.25">
      <c r="A33" s="31"/>
      <c r="B33" s="26" t="s">
        <v>213</v>
      </c>
      <c r="C33" s="26"/>
      <c r="D33" s="13" t="s">
        <v>213</v>
      </c>
      <c r="E33" s="32"/>
      <c r="F33" s="32"/>
      <c r="G33" s="33"/>
      <c r="H33" s="272"/>
      <c r="I33" s="273"/>
      <c r="J33" s="33"/>
    </row>
    <row r="34" spans="1:10" ht="13.5" thickBot="1" x14ac:dyDescent="0.25">
      <c r="A34" s="28" t="s">
        <v>214</v>
      </c>
      <c r="B34" s="34" t="s">
        <v>215</v>
      </c>
      <c r="C34" s="35"/>
      <c r="D34" s="274"/>
      <c r="E34" s="275"/>
      <c r="F34" s="275"/>
      <c r="G34" s="275"/>
      <c r="H34" s="275"/>
      <c r="I34" s="276"/>
    </row>
    <row r="35" spans="1:10" ht="13.5" thickBot="1" x14ac:dyDescent="0.25">
      <c r="A35" s="36"/>
      <c r="B35" s="13" t="s">
        <v>216</v>
      </c>
      <c r="C35" s="37"/>
      <c r="D35" s="277"/>
      <c r="E35" s="278"/>
      <c r="F35" s="278"/>
      <c r="G35" s="278"/>
      <c r="H35" s="278"/>
      <c r="I35" s="279"/>
    </row>
    <row r="36" spans="1:10" ht="13.5" thickBot="1" x14ac:dyDescent="0.25">
      <c r="B36" s="7"/>
      <c r="C36" s="7"/>
      <c r="D36" s="7"/>
      <c r="E36" s="7"/>
      <c r="F36" s="7"/>
      <c r="G36" s="7"/>
      <c r="H36" s="7"/>
    </row>
    <row r="37" spans="1:10" ht="13.5" thickBot="1" x14ac:dyDescent="0.25">
      <c r="A37" s="20" t="s">
        <v>217</v>
      </c>
      <c r="B37" s="8" t="s">
        <v>218</v>
      </c>
      <c r="C37" s="8"/>
      <c r="D37" s="9" t="s">
        <v>170</v>
      </c>
      <c r="E37" s="10" t="s">
        <v>171</v>
      </c>
      <c r="F37" s="10" t="s">
        <v>172</v>
      </c>
      <c r="G37" s="10" t="s">
        <v>173</v>
      </c>
      <c r="H37" s="10" t="s">
        <v>174</v>
      </c>
      <c r="I37" s="38" t="s">
        <v>175</v>
      </c>
    </row>
    <row r="38" spans="1:10" s="40" customFormat="1" ht="12.75" customHeight="1" thickBot="1" x14ac:dyDescent="0.25">
      <c r="A38" s="253"/>
      <c r="B38" s="255" t="s">
        <v>219</v>
      </c>
      <c r="C38" s="12" t="s">
        <v>178</v>
      </c>
      <c r="D38" s="57" t="s">
        <v>199</v>
      </c>
      <c r="E38" s="70">
        <f>Milestones!E10/1000000</f>
        <v>1.1028378000000001</v>
      </c>
      <c r="F38" s="70">
        <f>Milestones!F10/1000000</f>
        <v>3.4923196999999999</v>
      </c>
      <c r="G38" s="70">
        <f>Milestones!G10/1000000</f>
        <v>4.0437386000000002</v>
      </c>
      <c r="H38" s="39"/>
      <c r="I38" s="280" t="s">
        <v>220</v>
      </c>
      <c r="J38" s="64"/>
    </row>
    <row r="39" spans="1:10" ht="14.25" customHeight="1" thickBot="1" x14ac:dyDescent="0.25">
      <c r="A39" s="254"/>
      <c r="B39" s="256"/>
      <c r="C39" s="41" t="s">
        <v>185</v>
      </c>
      <c r="D39" s="22"/>
      <c r="E39" s="74">
        <f>'AR25 Results'!J13/1000000</f>
        <v>0.84501526992481224</v>
      </c>
      <c r="F39" s="14"/>
      <c r="G39" s="14"/>
      <c r="H39" s="16"/>
      <c r="I39" s="281"/>
    </row>
    <row r="40" spans="1:10" ht="13.5" customHeight="1" thickBot="1" x14ac:dyDescent="0.25">
      <c r="A40" s="254"/>
      <c r="B40" s="256"/>
      <c r="C40" s="234" t="s">
        <v>188</v>
      </c>
      <c r="D40" s="235"/>
      <c r="E40" s="235"/>
      <c r="F40" s="235"/>
      <c r="G40" s="235"/>
      <c r="H40" s="235"/>
      <c r="I40" s="281"/>
    </row>
    <row r="41" spans="1:10" ht="12.75" customHeight="1" thickBot="1" x14ac:dyDescent="0.25">
      <c r="A41" s="254"/>
      <c r="B41" s="257"/>
      <c r="C41" s="246" t="s">
        <v>200</v>
      </c>
      <c r="D41" s="247"/>
      <c r="E41" s="247"/>
      <c r="F41" s="247"/>
      <c r="G41" s="247"/>
      <c r="H41" s="247"/>
      <c r="I41" s="281"/>
    </row>
    <row r="42" spans="1:10" ht="13.5" customHeight="1" thickBot="1" x14ac:dyDescent="0.25">
      <c r="A42" s="254"/>
      <c r="B42" s="8" t="s">
        <v>221</v>
      </c>
      <c r="C42" s="42"/>
      <c r="D42" s="43" t="s">
        <v>170</v>
      </c>
      <c r="E42" s="44" t="s">
        <v>171</v>
      </c>
      <c r="F42" s="44" t="s">
        <v>172</v>
      </c>
      <c r="G42" s="44" t="s">
        <v>173</v>
      </c>
      <c r="H42" s="54" t="s">
        <v>174</v>
      </c>
      <c r="I42" s="281"/>
    </row>
    <row r="43" spans="1:10" ht="13.5" thickBot="1" x14ac:dyDescent="0.25">
      <c r="A43" s="254"/>
      <c r="B43" s="255" t="s">
        <v>222</v>
      </c>
      <c r="C43" s="45" t="s">
        <v>178</v>
      </c>
      <c r="D43" s="46" t="s">
        <v>199</v>
      </c>
      <c r="E43" s="76">
        <f>Milestones!E11/1000000</f>
        <v>0.20855148000000001</v>
      </c>
      <c r="F43" s="76">
        <f>Milestones!F11/1000000</f>
        <v>0.66041302000000002</v>
      </c>
      <c r="G43" s="76">
        <f>Milestones!G11/1000000</f>
        <v>0.76468876000000008</v>
      </c>
      <c r="H43" s="47"/>
      <c r="I43" s="281"/>
    </row>
    <row r="44" spans="1:10" ht="16.5" customHeight="1" thickBot="1" x14ac:dyDescent="0.25">
      <c r="A44" s="254"/>
      <c r="B44" s="256"/>
      <c r="C44" s="48" t="s">
        <v>185</v>
      </c>
      <c r="D44" s="49"/>
      <c r="E44" s="74">
        <f>'AR25 Results'!J14/1000000</f>
        <v>1.680990965413534</v>
      </c>
      <c r="F44" s="51"/>
      <c r="G44" s="50"/>
      <c r="H44" s="52"/>
      <c r="I44" s="281"/>
    </row>
    <row r="45" spans="1:10" ht="13.5" customHeight="1" thickBot="1" x14ac:dyDescent="0.25">
      <c r="A45" s="254"/>
      <c r="B45" s="256"/>
      <c r="C45" s="53" t="s">
        <v>188</v>
      </c>
      <c r="D45" s="54"/>
      <c r="E45" s="54"/>
      <c r="F45" s="54"/>
      <c r="G45" s="54"/>
      <c r="H45" s="54"/>
      <c r="I45" s="281"/>
    </row>
    <row r="46" spans="1:10" ht="12.95" customHeight="1" thickBot="1" x14ac:dyDescent="0.25">
      <c r="A46" s="254"/>
      <c r="B46" s="257"/>
      <c r="C46" s="246" t="s">
        <v>200</v>
      </c>
      <c r="D46" s="247"/>
      <c r="E46" s="247"/>
      <c r="F46" s="247"/>
      <c r="G46" s="248"/>
      <c r="H46" s="199"/>
      <c r="I46" s="281"/>
    </row>
    <row r="47" spans="1:10" ht="13.5" customHeight="1" thickBot="1" x14ac:dyDescent="0.25">
      <c r="A47" s="254"/>
      <c r="B47" s="8" t="s">
        <v>223</v>
      </c>
      <c r="C47" s="42"/>
      <c r="D47" s="43" t="s">
        <v>170</v>
      </c>
      <c r="E47" s="44" t="s">
        <v>171</v>
      </c>
      <c r="F47" s="44" t="s">
        <v>172</v>
      </c>
      <c r="G47" s="44" t="s">
        <v>173</v>
      </c>
      <c r="H47" s="54" t="s">
        <v>174</v>
      </c>
      <c r="I47" s="281"/>
    </row>
    <row r="48" spans="1:10" ht="12.95" customHeight="1" thickBot="1" x14ac:dyDescent="0.25">
      <c r="A48" s="254"/>
      <c r="B48" s="255" t="s">
        <v>224</v>
      </c>
      <c r="C48" s="45" t="s">
        <v>178</v>
      </c>
      <c r="D48" s="46" t="s">
        <v>199</v>
      </c>
      <c r="E48" s="85">
        <f>Milestones!E12/1000</f>
        <v>18.056519999999999</v>
      </c>
      <c r="F48" s="85">
        <f>Milestones!F12/1000</f>
        <v>57.178979999999996</v>
      </c>
      <c r="G48" s="85">
        <f>Milestones!G12/1000</f>
        <v>66.207239999999999</v>
      </c>
      <c r="H48" s="47"/>
      <c r="I48" s="281"/>
    </row>
    <row r="49" spans="1:9" ht="13.5" customHeight="1" thickBot="1" x14ac:dyDescent="0.25">
      <c r="A49" s="254"/>
      <c r="B49" s="256"/>
      <c r="C49" s="48" t="s">
        <v>185</v>
      </c>
      <c r="D49" s="49"/>
      <c r="E49" s="75">
        <f>'AR25 Results'!J15/1000</f>
        <v>1.1278195488721805</v>
      </c>
      <c r="F49" s="86"/>
      <c r="G49" s="86"/>
      <c r="H49" s="52"/>
      <c r="I49" s="281"/>
    </row>
    <row r="50" spans="1:9" ht="13.5" customHeight="1" thickBot="1" x14ac:dyDescent="0.25">
      <c r="A50" s="254"/>
      <c r="B50" s="256"/>
      <c r="C50" s="53" t="s">
        <v>188</v>
      </c>
      <c r="D50" s="54"/>
      <c r="E50" s="54"/>
      <c r="F50" s="54"/>
      <c r="G50" s="54"/>
      <c r="H50" s="54"/>
      <c r="I50" s="281"/>
    </row>
    <row r="51" spans="1:9" ht="12.95" customHeight="1" thickBot="1" x14ac:dyDescent="0.25">
      <c r="A51" s="254"/>
      <c r="B51" s="257"/>
      <c r="C51" s="246" t="s">
        <v>200</v>
      </c>
      <c r="D51" s="247"/>
      <c r="E51" s="247"/>
      <c r="F51" s="247"/>
      <c r="G51" s="248"/>
      <c r="H51" s="199"/>
      <c r="I51" s="281"/>
    </row>
    <row r="52" spans="1:9" ht="13.5" customHeight="1" thickBot="1" x14ac:dyDescent="0.25">
      <c r="A52" s="254"/>
      <c r="B52" s="8" t="s">
        <v>225</v>
      </c>
      <c r="C52" s="42"/>
      <c r="D52" s="43" t="s">
        <v>170</v>
      </c>
      <c r="E52" s="44" t="s">
        <v>171</v>
      </c>
      <c r="F52" s="44" t="s">
        <v>172</v>
      </c>
      <c r="G52" s="44" t="s">
        <v>173</v>
      </c>
      <c r="H52" s="54" t="s">
        <v>174</v>
      </c>
      <c r="I52" s="281"/>
    </row>
    <row r="53" spans="1:9" ht="13.5" thickBot="1" x14ac:dyDescent="0.25">
      <c r="A53" s="254"/>
      <c r="B53" s="255" t="s">
        <v>226</v>
      </c>
      <c r="C53" s="45" t="s">
        <v>178</v>
      </c>
      <c r="D53" s="46" t="s">
        <v>199</v>
      </c>
      <c r="E53" s="70">
        <f>Milestones!E13/1000000</f>
        <v>1.46492676</v>
      </c>
      <c r="F53" s="70">
        <f>Milestones!F13/1000000</f>
        <v>4.6389347399999998</v>
      </c>
      <c r="G53" s="70">
        <f>Milestones!G13/1000000</f>
        <v>5.3713981200000012</v>
      </c>
      <c r="H53" s="47"/>
      <c r="I53" s="281"/>
    </row>
    <row r="54" spans="1:9" ht="13.5" customHeight="1" thickBot="1" x14ac:dyDescent="0.25">
      <c r="A54" s="254"/>
      <c r="B54" s="256"/>
      <c r="C54" s="41" t="s">
        <v>185</v>
      </c>
      <c r="D54" s="22"/>
      <c r="E54" s="74">
        <f>'AR25 Results'!J16/1000000</f>
        <v>0.80525666165413545</v>
      </c>
      <c r="F54" s="14"/>
      <c r="G54" s="14"/>
      <c r="H54" s="16"/>
      <c r="I54" s="281"/>
    </row>
    <row r="55" spans="1:9" ht="13.5" customHeight="1" thickBot="1" x14ac:dyDescent="0.25">
      <c r="A55" s="254"/>
      <c r="B55" s="256"/>
      <c r="C55" s="234" t="s">
        <v>188</v>
      </c>
      <c r="D55" s="235"/>
      <c r="E55" s="235"/>
      <c r="F55" s="235"/>
      <c r="G55" s="235"/>
      <c r="H55" s="235"/>
      <c r="I55" s="281"/>
    </row>
    <row r="56" spans="1:9" ht="18.75" customHeight="1" thickBot="1" x14ac:dyDescent="0.25">
      <c r="A56" s="254"/>
      <c r="B56" s="257"/>
      <c r="C56" s="246" t="s">
        <v>200</v>
      </c>
      <c r="D56" s="247"/>
      <c r="E56" s="247"/>
      <c r="F56" s="247"/>
      <c r="G56" s="247"/>
      <c r="H56" s="247"/>
      <c r="I56" s="281"/>
    </row>
    <row r="57" spans="1:9" ht="13.5" customHeight="1" thickBot="1" x14ac:dyDescent="0.25">
      <c r="A57" s="254"/>
      <c r="B57" s="8" t="s">
        <v>227</v>
      </c>
      <c r="C57" s="55"/>
      <c r="D57" s="56" t="s">
        <v>170</v>
      </c>
      <c r="E57" s="23" t="s">
        <v>171</v>
      </c>
      <c r="F57" s="23" t="s">
        <v>172</v>
      </c>
      <c r="G57" s="23" t="s">
        <v>173</v>
      </c>
      <c r="H57" s="19" t="s">
        <v>174</v>
      </c>
      <c r="I57" s="281"/>
    </row>
    <row r="58" spans="1:9" ht="14.25" customHeight="1" thickBot="1" x14ac:dyDescent="0.25">
      <c r="A58" s="254"/>
      <c r="B58" s="255" t="s">
        <v>228</v>
      </c>
      <c r="C58" s="12" t="s">
        <v>178</v>
      </c>
      <c r="D58" s="57" t="s">
        <v>199</v>
      </c>
      <c r="E58" s="70">
        <f>Milestones!E14/1000000</f>
        <v>0.98210927999999997</v>
      </c>
      <c r="F58" s="70">
        <f>Milestones!F14/1000000</f>
        <v>3.1100127199999998</v>
      </c>
      <c r="G58" s="70">
        <f>Milestones!G14/1000000</f>
        <v>3.6010673600000005</v>
      </c>
      <c r="H58" s="58"/>
      <c r="I58" s="281"/>
    </row>
    <row r="59" spans="1:9" ht="13.5" customHeight="1" thickBot="1" x14ac:dyDescent="0.25">
      <c r="A59" s="254"/>
      <c r="B59" s="256"/>
      <c r="C59" s="41" t="s">
        <v>185</v>
      </c>
      <c r="D59" s="59"/>
      <c r="E59" s="74">
        <f>'AR25 Results'!J17/1000000</f>
        <v>0</v>
      </c>
      <c r="F59" s="60"/>
      <c r="G59" s="60"/>
      <c r="H59" s="25"/>
      <c r="I59" s="281"/>
    </row>
    <row r="60" spans="1:9" ht="13.5" customHeight="1" thickBot="1" x14ac:dyDescent="0.25">
      <c r="A60" s="254"/>
      <c r="B60" s="256"/>
      <c r="C60" s="234" t="s">
        <v>188</v>
      </c>
      <c r="D60" s="235"/>
      <c r="E60" s="235"/>
      <c r="F60" s="235"/>
      <c r="G60" s="235"/>
      <c r="H60" s="235"/>
      <c r="I60" s="281"/>
    </row>
    <row r="61" spans="1:9" ht="12.95" customHeight="1" thickBot="1" x14ac:dyDescent="0.25">
      <c r="A61" s="254"/>
      <c r="B61" s="257"/>
      <c r="C61" s="246" t="s">
        <v>200</v>
      </c>
      <c r="D61" s="247"/>
      <c r="E61" s="247"/>
      <c r="F61" s="247"/>
      <c r="G61" s="247"/>
      <c r="H61" s="247"/>
      <c r="I61" s="281"/>
    </row>
    <row r="62" spans="1:9" x14ac:dyDescent="0.2">
      <c r="A62" s="254"/>
      <c r="B62" s="8" t="s">
        <v>229</v>
      </c>
      <c r="C62" s="26"/>
      <c r="D62" s="56" t="s">
        <v>170</v>
      </c>
      <c r="E62" s="56" t="s">
        <v>171</v>
      </c>
      <c r="F62" s="56" t="s">
        <v>172</v>
      </c>
      <c r="G62" s="56" t="s">
        <v>173</v>
      </c>
      <c r="H62" s="200"/>
      <c r="I62" s="281"/>
    </row>
    <row r="63" spans="1:9" ht="13.5" customHeight="1" thickBot="1" x14ac:dyDescent="0.25">
      <c r="A63" s="254"/>
      <c r="B63" s="255" t="s">
        <v>230</v>
      </c>
      <c r="C63" s="61" t="s">
        <v>178</v>
      </c>
      <c r="D63" s="267" t="s">
        <v>231</v>
      </c>
      <c r="E63" s="268"/>
      <c r="F63" s="268"/>
      <c r="G63" s="269"/>
      <c r="H63" s="201"/>
      <c r="I63" s="281"/>
    </row>
    <row r="64" spans="1:9" ht="13.5" customHeight="1" thickBot="1" x14ac:dyDescent="0.25">
      <c r="A64" s="254"/>
      <c r="B64" s="256"/>
      <c r="C64" s="12" t="s">
        <v>232</v>
      </c>
      <c r="D64" s="63"/>
      <c r="E64" s="182">
        <f>'AR25 Results'!J18</f>
        <v>22876.165413533839</v>
      </c>
      <c r="F64" s="148"/>
      <c r="G64" s="148"/>
      <c r="H64" s="16"/>
      <c r="I64" s="281"/>
    </row>
    <row r="65" spans="1:9" ht="13.5" customHeight="1" thickBot="1" x14ac:dyDescent="0.25">
      <c r="A65" s="254"/>
      <c r="B65" s="256"/>
      <c r="C65" s="79" t="s">
        <v>233</v>
      </c>
      <c r="D65" s="63"/>
      <c r="E65" s="203">
        <f>'AR25 Results'!J19</f>
        <v>11526.766917293235</v>
      </c>
      <c r="F65" s="149"/>
      <c r="G65" s="150"/>
      <c r="H65" s="201"/>
      <c r="I65" s="281"/>
    </row>
    <row r="66" spans="1:9" ht="13.5" customHeight="1" thickBot="1" x14ac:dyDescent="0.25">
      <c r="A66" s="254"/>
      <c r="B66" s="256"/>
      <c r="C66" s="79" t="s">
        <v>234</v>
      </c>
      <c r="D66" s="63"/>
      <c r="E66" s="204">
        <f>E65/E64</f>
        <v>0.50387670787140959</v>
      </c>
      <c r="F66" s="149"/>
      <c r="G66" s="150"/>
      <c r="H66" s="201"/>
      <c r="I66" s="281"/>
    </row>
    <row r="67" spans="1:9" ht="13.5" customHeight="1" thickBot="1" x14ac:dyDescent="0.25">
      <c r="A67" s="254"/>
      <c r="B67" s="256"/>
      <c r="C67" s="234" t="s">
        <v>188</v>
      </c>
      <c r="D67" s="235"/>
      <c r="E67" s="283"/>
      <c r="F67" s="283"/>
      <c r="G67" s="283"/>
      <c r="H67" s="200"/>
      <c r="I67" s="281"/>
    </row>
    <row r="68" spans="1:9" ht="13.5" customHeight="1" thickBot="1" x14ac:dyDescent="0.25">
      <c r="A68" s="254"/>
      <c r="B68" s="257"/>
      <c r="C68" s="246" t="s">
        <v>200</v>
      </c>
      <c r="D68" s="247"/>
      <c r="E68" s="247"/>
      <c r="F68" s="247"/>
      <c r="G68" s="247"/>
      <c r="H68" s="247"/>
      <c r="I68" s="281"/>
    </row>
    <row r="69" spans="1:9" x14ac:dyDescent="0.2">
      <c r="A69" s="254"/>
      <c r="B69" s="8" t="s">
        <v>235</v>
      </c>
      <c r="C69" s="8"/>
      <c r="D69" s="9" t="s">
        <v>170</v>
      </c>
      <c r="E69" s="10" t="s">
        <v>171</v>
      </c>
      <c r="F69" s="10" t="s">
        <v>172</v>
      </c>
      <c r="G69" s="10" t="s">
        <v>173</v>
      </c>
      <c r="H69" s="196" t="s">
        <v>174</v>
      </c>
      <c r="I69" s="281"/>
    </row>
    <row r="70" spans="1:9" ht="13.5" thickBot="1" x14ac:dyDescent="0.25">
      <c r="A70" s="254"/>
      <c r="B70" s="255" t="s">
        <v>236</v>
      </c>
      <c r="C70" s="12" t="s">
        <v>178</v>
      </c>
      <c r="D70" s="62" t="s">
        <v>237</v>
      </c>
      <c r="E70" s="146">
        <f>Milestones!E17</f>
        <v>7</v>
      </c>
      <c r="F70" s="146">
        <f>Milestones!F17</f>
        <v>7</v>
      </c>
      <c r="G70" s="146">
        <f>Milestones!G17</f>
        <v>7</v>
      </c>
      <c r="H70" s="202" t="s">
        <v>238</v>
      </c>
      <c r="I70" s="281"/>
    </row>
    <row r="71" spans="1:9" ht="13.5" thickBot="1" x14ac:dyDescent="0.25">
      <c r="A71" s="254"/>
      <c r="B71" s="256"/>
      <c r="C71" s="41" t="s">
        <v>185</v>
      </c>
      <c r="D71" s="63"/>
      <c r="E71" s="77">
        <f>'AR25 Results'!J23</f>
        <v>2.6596192696771617</v>
      </c>
      <c r="F71" s="78"/>
      <c r="G71" s="78"/>
      <c r="H71" s="16"/>
      <c r="I71" s="281"/>
    </row>
    <row r="72" spans="1:9" ht="12.95" customHeight="1" thickBot="1" x14ac:dyDescent="0.25">
      <c r="A72" s="254"/>
      <c r="B72" s="256"/>
      <c r="C72" s="18" t="s">
        <v>188</v>
      </c>
      <c r="D72" s="19"/>
      <c r="E72" s="19"/>
      <c r="F72" s="19"/>
      <c r="G72" s="19"/>
      <c r="H72" s="19"/>
      <c r="I72" s="281"/>
    </row>
    <row r="73" spans="1:9" ht="13.5" thickBot="1" x14ac:dyDescent="0.25">
      <c r="A73" s="254"/>
      <c r="B73" s="256"/>
      <c r="C73" s="246" t="s">
        <v>200</v>
      </c>
      <c r="D73" s="247"/>
      <c r="E73" s="247"/>
      <c r="F73" s="247"/>
      <c r="G73" s="248"/>
      <c r="H73" s="175"/>
      <c r="I73" s="281"/>
    </row>
    <row r="74" spans="1:9" x14ac:dyDescent="0.2">
      <c r="A74" s="205"/>
      <c r="B74" s="3" t="s">
        <v>239</v>
      </c>
      <c r="C74" s="26"/>
      <c r="D74" s="56" t="s">
        <v>170</v>
      </c>
      <c r="E74" s="56" t="s">
        <v>171</v>
      </c>
      <c r="F74" s="56" t="s">
        <v>172</v>
      </c>
      <c r="G74" s="56" t="s">
        <v>173</v>
      </c>
      <c r="H74" s="71"/>
      <c r="I74" s="281"/>
    </row>
    <row r="75" spans="1:9" ht="13.5" customHeight="1" thickBot="1" x14ac:dyDescent="0.25">
      <c r="A75" s="205"/>
      <c r="B75" s="258" t="s">
        <v>240</v>
      </c>
      <c r="C75" s="61" t="s">
        <v>178</v>
      </c>
      <c r="D75" s="81" t="s">
        <v>199</v>
      </c>
      <c r="E75" s="80">
        <f>Milestones!E18</f>
        <v>0.39</v>
      </c>
      <c r="F75" s="80">
        <f>Milestones!F18</f>
        <v>0.39</v>
      </c>
      <c r="G75" s="80">
        <f>Milestones!G18</f>
        <v>0.39</v>
      </c>
      <c r="H75" s="72"/>
      <c r="I75" s="281"/>
    </row>
    <row r="76" spans="1:9" ht="13.5" customHeight="1" thickBot="1" x14ac:dyDescent="0.25">
      <c r="A76" s="205"/>
      <c r="B76" s="259"/>
      <c r="C76" s="12" t="s">
        <v>185</v>
      </c>
      <c r="D76" s="82"/>
      <c r="E76" s="84">
        <f>'AR25 Results'!J25</f>
        <v>0.12081656778669111</v>
      </c>
      <c r="F76" s="83"/>
      <c r="G76" s="83"/>
      <c r="H76" s="14"/>
      <c r="I76" s="281"/>
    </row>
    <row r="77" spans="1:9" ht="13.5" customHeight="1" thickBot="1" x14ac:dyDescent="0.25">
      <c r="A77" s="206"/>
      <c r="B77" s="259"/>
      <c r="C77" s="234" t="s">
        <v>188</v>
      </c>
      <c r="D77" s="235"/>
      <c r="E77" s="235"/>
      <c r="F77" s="235"/>
      <c r="G77" s="235"/>
      <c r="H77" s="71"/>
      <c r="I77" s="281"/>
    </row>
    <row r="78" spans="1:9" ht="13.5" customHeight="1" thickBot="1" x14ac:dyDescent="0.25">
      <c r="A78" s="206"/>
      <c r="B78" s="260"/>
      <c r="C78" s="246" t="s">
        <v>200</v>
      </c>
      <c r="D78" s="247"/>
      <c r="E78" s="247"/>
      <c r="F78" s="247"/>
      <c r="G78" s="247"/>
      <c r="H78" s="247"/>
      <c r="I78" s="281"/>
    </row>
    <row r="79" spans="1:9" x14ac:dyDescent="0.2">
      <c r="A79" s="206"/>
      <c r="B79" s="3" t="s">
        <v>241</v>
      </c>
      <c r="C79" s="26"/>
      <c r="D79" s="56" t="s">
        <v>170</v>
      </c>
      <c r="E79" s="56" t="s">
        <v>171</v>
      </c>
      <c r="F79" s="56" t="s">
        <v>172</v>
      </c>
      <c r="G79" s="56" t="s">
        <v>173</v>
      </c>
      <c r="H79" s="71"/>
      <c r="I79" s="281"/>
    </row>
    <row r="80" spans="1:9" ht="13.5" customHeight="1" thickBot="1" x14ac:dyDescent="0.25">
      <c r="A80" s="206"/>
      <c r="B80" s="258" t="s">
        <v>242</v>
      </c>
      <c r="C80" s="61" t="s">
        <v>178</v>
      </c>
      <c r="D80" s="81" t="s">
        <v>199</v>
      </c>
      <c r="E80" s="80">
        <f>Milestones!E19</f>
        <v>0.25</v>
      </c>
      <c r="F80" s="80">
        <f>Milestones!F19</f>
        <v>0.25</v>
      </c>
      <c r="G80" s="80">
        <f>Milestones!G19</f>
        <v>0.25</v>
      </c>
      <c r="H80" s="72"/>
      <c r="I80" s="281"/>
    </row>
    <row r="81" spans="1:9" ht="13.5" customHeight="1" thickBot="1" x14ac:dyDescent="0.25">
      <c r="A81" s="206"/>
      <c r="B81" s="259"/>
      <c r="C81" s="12" t="s">
        <v>185</v>
      </c>
      <c r="D81" s="63"/>
      <c r="E81" s="84">
        <f>'AR25 Results'!J27</f>
        <v>0</v>
      </c>
      <c r="F81" s="70"/>
      <c r="G81" s="70"/>
      <c r="H81" s="14"/>
      <c r="I81" s="281"/>
    </row>
    <row r="82" spans="1:9" ht="13.5" customHeight="1" thickBot="1" x14ac:dyDescent="0.25">
      <c r="A82" s="206"/>
      <c r="B82" s="259"/>
      <c r="C82" s="234" t="s">
        <v>188</v>
      </c>
      <c r="D82" s="235"/>
      <c r="E82" s="235"/>
      <c r="F82" s="235"/>
      <c r="G82" s="235"/>
      <c r="H82" s="71"/>
      <c r="I82" s="281"/>
    </row>
    <row r="83" spans="1:9" ht="13.5" customHeight="1" thickBot="1" x14ac:dyDescent="0.25">
      <c r="A83" s="206"/>
      <c r="B83" s="260"/>
      <c r="C83" s="246" t="s">
        <v>200</v>
      </c>
      <c r="D83" s="247"/>
      <c r="E83" s="247"/>
      <c r="F83" s="247"/>
      <c r="G83" s="247"/>
      <c r="H83" s="247"/>
      <c r="I83" s="281"/>
    </row>
    <row r="84" spans="1:9" x14ac:dyDescent="0.2">
      <c r="A84" s="206"/>
      <c r="B84" s="3" t="s">
        <v>243</v>
      </c>
      <c r="C84" s="26"/>
      <c r="D84" s="56" t="s">
        <v>170</v>
      </c>
      <c r="E84" s="56" t="s">
        <v>171</v>
      </c>
      <c r="F84" s="56" t="s">
        <v>172</v>
      </c>
      <c r="G84" s="56" t="s">
        <v>173</v>
      </c>
      <c r="H84" s="71"/>
      <c r="I84" s="281"/>
    </row>
    <row r="85" spans="1:9" ht="13.5" customHeight="1" thickBot="1" x14ac:dyDescent="0.25">
      <c r="A85" s="206"/>
      <c r="B85" s="258" t="s">
        <v>244</v>
      </c>
      <c r="C85" s="61" t="s">
        <v>178</v>
      </c>
      <c r="D85" s="81" t="s">
        <v>199</v>
      </c>
      <c r="E85" s="80">
        <f>Milestones!E20</f>
        <v>0.2</v>
      </c>
      <c r="F85" s="80">
        <f>Milestones!F20</f>
        <v>0.2</v>
      </c>
      <c r="G85" s="80">
        <f>Milestones!G20</f>
        <v>0.2</v>
      </c>
      <c r="H85" s="72"/>
      <c r="I85" s="281"/>
    </row>
    <row r="86" spans="1:9" ht="13.5" customHeight="1" thickBot="1" x14ac:dyDescent="0.25">
      <c r="A86" s="206"/>
      <c r="B86" s="259"/>
      <c r="C86" s="12" t="s">
        <v>185</v>
      </c>
      <c r="D86" s="63"/>
      <c r="E86" s="84">
        <f>'AR25 Results'!J29</f>
        <v>0.4355243639127272</v>
      </c>
      <c r="F86" s="70"/>
      <c r="G86" s="70"/>
      <c r="H86" s="14"/>
      <c r="I86" s="281"/>
    </row>
    <row r="87" spans="1:9" ht="13.5" customHeight="1" thickBot="1" x14ac:dyDescent="0.25">
      <c r="A87" s="206"/>
      <c r="B87" s="259"/>
      <c r="C87" s="234" t="s">
        <v>188</v>
      </c>
      <c r="D87" s="235"/>
      <c r="E87" s="235"/>
      <c r="F87" s="235"/>
      <c r="G87" s="235"/>
      <c r="H87" s="71"/>
      <c r="I87" s="281"/>
    </row>
    <row r="88" spans="1:9" ht="13.5" customHeight="1" thickBot="1" x14ac:dyDescent="0.25">
      <c r="A88" s="207"/>
      <c r="B88" s="260"/>
      <c r="C88" s="246" t="s">
        <v>200</v>
      </c>
      <c r="D88" s="247"/>
      <c r="E88" s="247"/>
      <c r="F88" s="247"/>
      <c r="G88" s="247"/>
      <c r="H88" s="247"/>
      <c r="I88" s="282"/>
    </row>
  </sheetData>
  <mergeCells count="59">
    <mergeCell ref="D8:G8"/>
    <mergeCell ref="D18:G18"/>
    <mergeCell ref="D23:G23"/>
    <mergeCell ref="D63:G63"/>
    <mergeCell ref="D31:H31"/>
    <mergeCell ref="H32:I32"/>
    <mergeCell ref="H33:I33"/>
    <mergeCell ref="D34:I35"/>
    <mergeCell ref="I38:I88"/>
    <mergeCell ref="C77:G77"/>
    <mergeCell ref="C68:H68"/>
    <mergeCell ref="C73:G73"/>
    <mergeCell ref="C67:G67"/>
    <mergeCell ref="B85:B88"/>
    <mergeCell ref="C87:G87"/>
    <mergeCell ref="C88:H88"/>
    <mergeCell ref="C78:H78"/>
    <mergeCell ref="B80:B83"/>
    <mergeCell ref="C82:G82"/>
    <mergeCell ref="C83:H83"/>
    <mergeCell ref="B75:B78"/>
    <mergeCell ref="A38:A73"/>
    <mergeCell ref="B38:B41"/>
    <mergeCell ref="C40:H40"/>
    <mergeCell ref="C41:H41"/>
    <mergeCell ref="B43:B46"/>
    <mergeCell ref="C46:G46"/>
    <mergeCell ref="B58:B61"/>
    <mergeCell ref="C60:H60"/>
    <mergeCell ref="C61:H61"/>
    <mergeCell ref="B48:B51"/>
    <mergeCell ref="C51:G51"/>
    <mergeCell ref="B53:B56"/>
    <mergeCell ref="C55:H55"/>
    <mergeCell ref="C56:H56"/>
    <mergeCell ref="B70:B73"/>
    <mergeCell ref="B63:B68"/>
    <mergeCell ref="A8:A31"/>
    <mergeCell ref="B8:B11"/>
    <mergeCell ref="I8:I31"/>
    <mergeCell ref="D10:H10"/>
    <mergeCell ref="D11:H11"/>
    <mergeCell ref="B13:B16"/>
    <mergeCell ref="D15:H15"/>
    <mergeCell ref="D16:H16"/>
    <mergeCell ref="B18:B21"/>
    <mergeCell ref="D20:H20"/>
    <mergeCell ref="D21:H21"/>
    <mergeCell ref="B23:B26"/>
    <mergeCell ref="D25:H25"/>
    <mergeCell ref="D26:H26"/>
    <mergeCell ref="B28:B31"/>
    <mergeCell ref="D30:H30"/>
    <mergeCell ref="B1:I1"/>
    <mergeCell ref="A3:A6"/>
    <mergeCell ref="B3:B6"/>
    <mergeCell ref="I3:I6"/>
    <mergeCell ref="D5:H5"/>
    <mergeCell ref="D6:H6"/>
  </mergeCells>
  <hyperlinks>
    <hyperlink ref="D6:H6" r:id="rId1" display="UN CBD reporting website" xr:uid="{08550457-BB65-4138-9D73-71EB5DDB5B0E}"/>
  </hyperlinks>
  <pageMargins left="0.74803149606299213" right="0.74803149606299213" top="0.98425196850393704" bottom="0.98425196850393704" header="0.51181102362204722" footer="0.51181102362204722"/>
  <pageSetup paperSize="8" scale="80" fitToHeight="0" orientation="landscape" r:id="rId2"/>
  <headerFooter alignWithMargins="0">
    <oddHeader>&amp;L&amp;"Calibri"&amp;10&amp;K000000OFFICIAL&amp;1#</oddHeader>
    <oddFooter>&amp;LUpdated January 2011</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d1117845-93f6-4da3-abaa-fcb4fa669c78" ContentTypeId="0x010100A5BF1C78D9F64B679A5EBDE1C6598EBC01"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F5B904C709910646B070DAB1EA7D4E8D" ma:contentTypeVersion="21" ma:contentTypeDescription="Create a new document." ma:contentTypeScope="" ma:versionID="9af57a46cd33c756a0fe5434796275fd">
  <xsd:schema xmlns:xsd="http://www.w3.org/2001/XMLSchema" xmlns:xs="http://www.w3.org/2001/XMLSchema" xmlns:p="http://schemas.microsoft.com/office/2006/metadata/properties" xmlns:ns1="http://schemas.microsoft.com/sharepoint/v3" xmlns:ns2="662745e8-e224-48e8-a2e3-254862b8c2f5" xmlns:ns3="0b3fee45-83ed-493f-9c2d-b390e9020356" xmlns:ns4="083010ce-a6df-4592-b7e4-3af05f3a2507" targetNamespace="http://schemas.microsoft.com/office/2006/metadata/properties" ma:root="true" ma:fieldsID="89effef64360f700e034991d7f66fa3b" ns1:_="" ns2:_="" ns3:_="" ns4:_="">
    <xsd:import namespace="http://schemas.microsoft.com/sharepoint/v3"/>
    <xsd:import namespace="662745e8-e224-48e8-a2e3-254862b8c2f5"/>
    <xsd:import namespace="0b3fee45-83ed-493f-9c2d-b390e9020356"/>
    <xsd:import namespace="083010ce-a6df-4592-b7e4-3af05f3a2507"/>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1:_ip_UnifiedCompliancePolicyUIAction" minOccurs="0"/>
                <xsd:element ref="ns3:lcf76f155ced4ddcb4097134ff3c332f" minOccurs="0"/>
                <xsd:element ref="ns3:MediaServiceOCR" minOccurs="0"/>
                <xsd:element ref="ns3:MediaServiceGenerationTime" minOccurs="0"/>
                <xsd:element ref="ns3:MediaServiceEventHashCode" minOccurs="0"/>
                <xsd:element ref="ns3:MediaServiceDateTaken" minOccurs="0"/>
                <xsd:element ref="ns3:MediaServiceObjectDetectorVersions" minOccurs="0"/>
                <xsd:element ref="ns3:MediaServiceSearchProperties" minOccurs="0"/>
                <xsd:element ref="ns3:MediaServiceMetadata" minOccurs="0"/>
                <xsd:element ref="ns3:MediaServiceFastMetadata" minOccurs="0"/>
                <xsd:element ref="ns3:MediaLengthInSeconds" minOccurs="0"/>
                <xsd:element ref="ns4:SharedWithUsers" minOccurs="0"/>
                <xsd:element ref="ns4:SharedWithDetails" minOccurs="0"/>
                <xsd:element ref="ns1:_ip_UnifiedCompliancePolicy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UIAction" ma:index="25" nillable="true" ma:displayName="Unified Compliance Policy UI Action" ma:hidden="true" ma:internalName="_ip_UnifiedCompliancePolicyUIAction">
      <xsd:simpleType>
        <xsd:restriction base="dms:Text"/>
      </xsd:simpleType>
    </xsd:element>
    <xsd:element name="_ip_UnifiedCompliancePolicyProperties" ma:index="39" nillable="true" ma:displayName="Unified Compliance Policy Properties" ma:hidden="true" ma:internalName="_ip_UnifiedCompliancePolicyProperties">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2;#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73189353-4ac2-4a3a-b7f6-d7a6a9413698}" ma:internalName="TaxCatchAll" ma:showField="CatchAllData" ma:web="083010ce-a6df-4592-b7e4-3af05f3a2507">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73189353-4ac2-4a3a-b7f6-d7a6a9413698}" ma:internalName="TaxCatchAllLabel" ma:readOnly="true" ma:showField="CatchAllDataLabel" ma:web="083010ce-a6df-4592-b7e4-3af05f3a2507">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1;#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10;#Team|ff0485df-0575-416f-802f-e999165821b7"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International Biodiversity" ma:internalName="Team" ma:readOnly="false">
      <xsd:simpleType>
        <xsd:restriction base="dms:Text"/>
      </xsd:simpleType>
    </xsd:element>
    <xsd:element name="Topic" ma:index="20" nillable="true" ma:displayName="Topic" ma:default="CBD" ma:internalName="Topic" ma:readOnly="false">
      <xsd:simpleType>
        <xsd:restriction base="dms:Text"/>
      </xsd:simpleType>
    </xsd:element>
    <xsd:element name="ddeb1fd0a9ad4436a96525d34737dc44" ma:index="21" nillable="true" ma:taxonomy="true" ma:internalName="ddeb1fd0a9ad4436a96525d34737dc44" ma:taxonomyFieldName="Distribution" ma:displayName="Distribution" ma:readOnly="false" ma:default="9;#External|1104eb68-55d8-494f-b6ba-c5473579de73"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readOnly="false" ma:default="3;#Core Defra|026223dd-2e56-4615-868d-7c5bfd566810"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b3fee45-83ed-493f-9c2d-b390e9020356" elementFormDefault="qualified">
    <xsd:import namespace="http://schemas.microsoft.com/office/2006/documentManagement/types"/>
    <xsd:import namespace="http://schemas.microsoft.com/office/infopath/2007/PartnerControls"/>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MediaServiceOCR" ma:index="28" nillable="true" ma:displayName="Extracted Text" ma:internalName="MediaServiceOCR" ma:readOnly="true">
      <xsd:simpleType>
        <xsd:restriction base="dms:Note">
          <xsd:maxLength value="255"/>
        </xsd:restriction>
      </xsd:simpleType>
    </xsd:element>
    <xsd:element name="MediaServiceGenerationTime" ma:index="29" nillable="true" ma:displayName="MediaServiceGenerationTime" ma:hidden="true" ma:internalName="MediaServiceGenerationTime" ma:readOnly="true">
      <xsd:simpleType>
        <xsd:restriction base="dms:Text"/>
      </xsd:simpleType>
    </xsd:element>
    <xsd:element name="MediaServiceEventHashCode" ma:index="30" nillable="true" ma:displayName="MediaServiceEventHashCode" ma:hidden="true" ma:internalName="MediaServiceEventHashCode" ma:readOnly="true">
      <xsd:simpleType>
        <xsd:restriction base="dms:Text"/>
      </xsd:simpleType>
    </xsd:element>
    <xsd:element name="MediaServiceDateTaken" ma:index="31" nillable="true" ma:displayName="MediaServiceDateTaken" ma:hidden="true" ma:indexed="true" ma:internalName="MediaServiceDateTaken" ma:readOnly="true">
      <xsd:simpleType>
        <xsd:restriction base="dms:Text"/>
      </xsd:simpleType>
    </xsd:element>
    <xsd:element name="MediaServiceObjectDetectorVersions" ma:index="32" nillable="true" ma:displayName="MediaServiceObjectDetectorVersions" ma:hidden="true" ma:indexed="true" ma:internalName="MediaServiceObjectDetectorVersions" ma:readOnly="true">
      <xsd:simpleType>
        <xsd:restriction base="dms:Text"/>
      </xsd:simpleType>
    </xsd:element>
    <xsd:element name="MediaServiceSearchProperties" ma:index="33" nillable="true" ma:displayName="MediaServiceSearchProperties" ma:hidden="true" ma:internalName="MediaServiceSearchProperties" ma:readOnly="true">
      <xsd:simpleType>
        <xsd:restriction base="dms:Note"/>
      </xsd:simpleType>
    </xsd:element>
    <xsd:element name="MediaServiceMetadata" ma:index="34" nillable="true" ma:displayName="MediaServiceMetadata" ma:hidden="true" ma:internalName="MediaServiceMetadata" ma:readOnly="true">
      <xsd:simpleType>
        <xsd:restriction base="dms:Note"/>
      </xsd:simpleType>
    </xsd:element>
    <xsd:element name="MediaServiceFastMetadata" ma:index="35" nillable="true" ma:displayName="MediaServiceFastMetadata" ma:hidden="true" ma:internalName="MediaServiceFastMetadata" ma:readOnly="true">
      <xsd:simpleType>
        <xsd:restriction base="dms:Note"/>
      </xsd:simpleType>
    </xsd:element>
    <xsd:element name="MediaLengthInSeconds" ma:index="36" nillable="true" ma:displayName="MediaLengthInSeconds" ma:hidden="true" ma:internalName="MediaLengthInSeconds" ma:readOnly="true">
      <xsd:simpleType>
        <xsd:restriction base="dms:Unknown"/>
      </xsd:simpleType>
    </xsd:element>
    <xsd:element name="MediaServiceBillingMetadata" ma:index="40"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83010ce-a6df-4592-b7e4-3af05f3a2507" elementFormDefault="qualified">
    <xsd:import namespace="http://schemas.microsoft.com/office/2006/documentManagement/types"/>
    <xsd:import namespace="http://schemas.microsoft.com/office/infopath/2007/PartnerControls"/>
    <xsd:element name="SharedWithUsers" ma:index="3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662745e8-e224-48e8-a2e3-254862b8c2f5">
      <Value>9</Value>
      <Value>10</Value>
      <Value>2</Value>
      <Value>1</Value>
      <Value>3</Value>
    </TaxCatchAll>
    <lcf76f155ced4ddcb4097134ff3c332f xmlns="0b3fee45-83ed-493f-9c2d-b390e9020356">
      <Terms xmlns="http://schemas.microsoft.com/office/infopath/2007/PartnerControls"/>
    </lcf76f155ced4ddcb4097134ff3c332f>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_ip_UnifiedCompliancePolicyUIAction xmlns="http://schemas.microsoft.com/sharepoint/v3" xsi:nil="true"/>
    <k85d23755b3a46b5a51451cf336b2e9b xmlns="662745e8-e224-48e8-a2e3-254862b8c2f5">
      <Terms xmlns="http://schemas.microsoft.com/office/infopath/2007/PartnerControls"/>
    </k85d23755b3a46b5a51451cf336b2e9b>
    <Topic xmlns="662745e8-e224-48e8-a2e3-254862b8c2f5">CBD</Topic>
    <HOMigrated xmlns="662745e8-e224-48e8-a2e3-254862b8c2f5">false</HOMigrated>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External</TermName>
          <TermId xmlns="http://schemas.microsoft.com/office/infopath/2007/PartnerControls">1104eb68-55d8-494f-b6ba-c5473579de73</TermId>
        </TermInfo>
      </Terms>
    </ddeb1fd0a9ad4436a96525d34737dc44>
    <_ip_UnifiedCompliancePolicyProperties xmlns="http://schemas.microsoft.com/sharepoint/v3" xsi:nil="true"/>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Core Defra</TermName>
          <TermId xmlns="http://schemas.microsoft.com/office/infopath/2007/PartnerControls">026223dd-2e56-4615-868d-7c5bfd566810</TermId>
        </TermInfo>
      </Terms>
    </fe59e9859d6a491389c5b03567f5dda5>
    <Team xmlns="662745e8-e224-48e8-a2e3-254862b8c2f5">International Biodiversity</Team>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Team</TermName>
          <TermId xmlns="http://schemas.microsoft.com/office/infopath/2007/PartnerControls">ff0485df-0575-416f-802f-e999165821b7</TermId>
        </TermInfo>
      </Terms>
    </n7493b4506bf40e28c373b1e51a33445>
    <SharedWithUsers xmlns="083010ce-a6df-4592-b7e4-3af05f3a2507">
      <UserInfo>
        <DisplayName>Brodie-Good, Leah</DisplayName>
        <AccountId>1513</AccountId>
        <AccountType/>
      </UserInfo>
      <UserInfo>
        <DisplayName>Waples, Sally</DisplayName>
        <AccountId>150</AccountId>
        <AccountType/>
      </UserInfo>
      <UserInfo>
        <DisplayName>Schuricht, Eleanor</DisplayName>
        <AccountId>129</AccountId>
        <AccountType/>
      </UserInfo>
    </SharedWithUsers>
  </documentManagement>
</p:properties>
</file>

<file path=customXml/itemProps1.xml><?xml version="1.0" encoding="utf-8"?>
<ds:datastoreItem xmlns:ds="http://schemas.openxmlformats.org/officeDocument/2006/customXml" ds:itemID="{FCAFEDDB-19D2-443B-B08B-3513AAD71237}">
  <ds:schemaRefs>
    <ds:schemaRef ds:uri="Microsoft.SharePoint.Taxonomy.ContentTypeSync"/>
  </ds:schemaRefs>
</ds:datastoreItem>
</file>

<file path=customXml/itemProps2.xml><?xml version="1.0" encoding="utf-8"?>
<ds:datastoreItem xmlns:ds="http://schemas.openxmlformats.org/officeDocument/2006/customXml" ds:itemID="{D49E4B8A-9BCD-4787-9EDC-F1DC0375BE0A}">
  <ds:schemaRefs>
    <ds:schemaRef ds:uri="http://schemas.microsoft.com/sharepoint/v3/contenttype/forms"/>
  </ds:schemaRefs>
</ds:datastoreItem>
</file>

<file path=customXml/itemProps3.xml><?xml version="1.0" encoding="utf-8"?>
<ds:datastoreItem xmlns:ds="http://schemas.openxmlformats.org/officeDocument/2006/customXml" ds:itemID="{7458459E-34F6-4317-B399-1EF1A5D411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62745e8-e224-48e8-a2e3-254862b8c2f5"/>
    <ds:schemaRef ds:uri="0b3fee45-83ed-493f-9c2d-b390e9020356"/>
    <ds:schemaRef ds:uri="083010ce-a6df-4592-b7e4-3af05f3a25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7E1D64BD-C18F-45FA-9B55-B020FE704EB0}">
  <ds:schemaRefs>
    <ds:schemaRef ds:uri="http://schemas.microsoft.com/office/2006/metadata/properties"/>
    <ds:schemaRef ds:uri="http://schemas.microsoft.com/office/infopath/2007/PartnerControls"/>
    <ds:schemaRef ds:uri="662745e8-e224-48e8-a2e3-254862b8c2f5"/>
    <ds:schemaRef ds:uri="0b3fee45-83ed-493f-9c2d-b390e9020356"/>
    <ds:schemaRef ds:uri="http://schemas.microsoft.com/sharepoint/v3"/>
    <ds:schemaRef ds:uri="083010ce-a6df-4592-b7e4-3af05f3a2507"/>
  </ds:schemaRefs>
</ds:datastoreItem>
</file>

<file path=docMetadata/LabelInfo.xml><?xml version="1.0" encoding="utf-8"?>
<clbl:labelList xmlns:clbl="http://schemas.microsoft.com/office/2020/mipLabelMetadata">
  <clbl:label id="{9e9cc48d-6fba-4c12-9882-137473def580}" enabled="1" method="Privileged" siteId="{d3a2d0d3-7cc8-4f52-bbf9-85bd43d94279}"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Cover Sheet</vt:lpstr>
      <vt:lpstr>Inputs</vt:lpstr>
      <vt:lpstr>UK GBFF Spend</vt:lpstr>
      <vt:lpstr>GBFF Pot</vt:lpstr>
      <vt:lpstr>Project Data</vt:lpstr>
      <vt:lpstr>Milestones</vt:lpstr>
      <vt:lpstr>Aggregate Results</vt:lpstr>
      <vt:lpstr>AR25 Results</vt:lpstr>
      <vt:lpstr>Log Frame</vt:lpstr>
      <vt:lpstr>ICF 25</vt:lpstr>
      <vt:lpstr>DI 25</vt:lpstr>
    </vt:vector>
  </TitlesOfParts>
  <Manager/>
  <Company>DFID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Logical Framework</dc:title>
  <dc:subject/>
  <dc:creator>David Grocott</dc:creator>
  <cp:keywords/>
  <dc:description/>
  <cp:lastModifiedBy>Charlie Makin</cp:lastModifiedBy>
  <cp:revision/>
  <dcterms:created xsi:type="dcterms:W3CDTF">2010-10-26T15:58:14Z</dcterms:created>
  <dcterms:modified xsi:type="dcterms:W3CDTF">2025-07-25T11:32:31Z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usiness Document Type">
    <vt:lpwstr>Logical framework</vt:lpwstr>
  </property>
  <property fmtid="{D5CDD505-2E9C-101B-9397-08002B2CF9AE}" pid="3" name="ContentTypeId">
    <vt:lpwstr>0x010100A5BF1C78D9F64B679A5EBDE1C6598EBC0100F5B904C709910646B070DAB1EA7D4E8D</vt:lpwstr>
  </property>
  <property fmtid="{D5CDD505-2E9C-101B-9397-08002B2CF9AE}" pid="4" name="MSIP_Label_e4c996da-17fa-4fc5-8989-2758fb4cf86b_Enabled">
    <vt:lpwstr>true</vt:lpwstr>
  </property>
  <property fmtid="{D5CDD505-2E9C-101B-9397-08002B2CF9AE}" pid="5" name="MSIP_Label_e4c996da-17fa-4fc5-8989-2758fb4cf86b_SetDate">
    <vt:lpwstr>2022-02-08T13:26:29Z</vt:lpwstr>
  </property>
  <property fmtid="{D5CDD505-2E9C-101B-9397-08002B2CF9AE}" pid="6" name="MSIP_Label_e4c996da-17fa-4fc5-8989-2758fb4cf86b_Method">
    <vt:lpwstr>Privileged</vt:lpwstr>
  </property>
  <property fmtid="{D5CDD505-2E9C-101B-9397-08002B2CF9AE}" pid="7" name="MSIP_Label_e4c996da-17fa-4fc5-8989-2758fb4cf86b_Name">
    <vt:lpwstr>OFFICIAL</vt:lpwstr>
  </property>
  <property fmtid="{D5CDD505-2E9C-101B-9397-08002B2CF9AE}" pid="8" name="MSIP_Label_e4c996da-17fa-4fc5-8989-2758fb4cf86b_SiteId">
    <vt:lpwstr>cdf709af-1a18-4c74-bd93-6d14a64d73b3</vt:lpwstr>
  </property>
  <property fmtid="{D5CDD505-2E9C-101B-9397-08002B2CF9AE}" pid="9" name="MSIP_Label_e4c996da-17fa-4fc5-8989-2758fb4cf86b_ActionId">
    <vt:lpwstr>0fe7cad3-b7e4-4a33-8102-f5e0d2435b05</vt:lpwstr>
  </property>
  <property fmtid="{D5CDD505-2E9C-101B-9397-08002B2CF9AE}" pid="10" name="MSIP_Label_e4c996da-17fa-4fc5-8989-2758fb4cf86b_ContentBits">
    <vt:lpwstr>1</vt:lpwstr>
  </property>
  <property fmtid="{D5CDD505-2E9C-101B-9397-08002B2CF9AE}" pid="11" name="MSIP_Label_9e9cc48d-6fba-4c12-9882-137473def580_Enabled">
    <vt:lpwstr>true</vt:lpwstr>
  </property>
  <property fmtid="{D5CDD505-2E9C-101B-9397-08002B2CF9AE}" pid="12" name="MSIP_Label_9e9cc48d-6fba-4c12-9882-137473def580_SetDate">
    <vt:lpwstr>2022-06-24T01:27:43Z</vt:lpwstr>
  </property>
  <property fmtid="{D5CDD505-2E9C-101B-9397-08002B2CF9AE}" pid="13" name="MSIP_Label_9e9cc48d-6fba-4c12-9882-137473def580_Method">
    <vt:lpwstr>Privileged</vt:lpwstr>
  </property>
  <property fmtid="{D5CDD505-2E9C-101B-9397-08002B2CF9AE}" pid="14" name="MSIP_Label_9e9cc48d-6fba-4c12-9882-137473def580_Name">
    <vt:lpwstr>Official</vt:lpwstr>
  </property>
  <property fmtid="{D5CDD505-2E9C-101B-9397-08002B2CF9AE}" pid="15" name="MSIP_Label_9e9cc48d-6fba-4c12-9882-137473def580_SiteId">
    <vt:lpwstr>d3a2d0d3-7cc8-4f52-bbf9-85bd43d94279</vt:lpwstr>
  </property>
  <property fmtid="{D5CDD505-2E9C-101B-9397-08002B2CF9AE}" pid="16" name="MSIP_Label_9e9cc48d-6fba-4c12-9882-137473def580_ActionId">
    <vt:lpwstr>fb51ceda-8a2b-4744-8e5b-535801d7ab9b</vt:lpwstr>
  </property>
  <property fmtid="{D5CDD505-2E9C-101B-9397-08002B2CF9AE}" pid="17" name="MSIP_Label_9e9cc48d-6fba-4c12-9882-137473def580_ContentBits">
    <vt:lpwstr>0</vt:lpwstr>
  </property>
  <property fmtid="{D5CDD505-2E9C-101B-9397-08002B2CF9AE}" pid="18" name="MediaServiceImageTags">
    <vt:lpwstr/>
  </property>
  <property fmtid="{D5CDD505-2E9C-101B-9397-08002B2CF9AE}" pid="19" name="InformationType">
    <vt:lpwstr/>
  </property>
  <property fmtid="{D5CDD505-2E9C-101B-9397-08002B2CF9AE}" pid="20" name="Distribution">
    <vt:lpwstr>9;#External|1104eb68-55d8-494f-b6ba-c5473579de73</vt:lpwstr>
  </property>
  <property fmtid="{D5CDD505-2E9C-101B-9397-08002B2CF9AE}" pid="21" name="HOCopyrightLevel">
    <vt:lpwstr>1;#Crown|69589897-2828-4761-976e-717fd8e631c9</vt:lpwstr>
  </property>
  <property fmtid="{D5CDD505-2E9C-101B-9397-08002B2CF9AE}" pid="22" name="HOGovernmentSecurityClassification">
    <vt:lpwstr>2;#Official|14c80daa-741b-422c-9722-f71693c9ede4</vt:lpwstr>
  </property>
  <property fmtid="{D5CDD505-2E9C-101B-9397-08002B2CF9AE}" pid="23" name="OrganisationalUnit">
    <vt:lpwstr>3;#Core Defra|026223dd-2e56-4615-868d-7c5bfd566810</vt:lpwstr>
  </property>
  <property fmtid="{D5CDD505-2E9C-101B-9397-08002B2CF9AE}" pid="24" name="HOSiteType">
    <vt:lpwstr>10;#Team|ff0485df-0575-416f-802f-e999165821b7</vt:lpwstr>
  </property>
</Properties>
</file>