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defra-my.sharepoint.com/personal/charlie_makin_defra_gov_uk/Documents/Desktop/"/>
    </mc:Choice>
  </mc:AlternateContent>
  <xr:revisionPtr revIDLastSave="0" documentId="8_{5E191CBB-1090-4720-B73B-0EA61AFB21CE}" xr6:coauthVersionLast="47" xr6:coauthVersionMax="47" xr10:uidLastSave="{00000000-0000-0000-0000-000000000000}"/>
  <bookViews>
    <workbookView xWindow="-120" yWindow="-16320" windowWidth="29040" windowHeight="15720" firstSheet="3" activeTab="11" xr2:uid="{00000000-000D-0000-FFFF-FFFF00000000}"/>
  </bookViews>
  <sheets>
    <sheet name="Cover Sheet" sheetId="21" r:id="rId1"/>
    <sheet name="Inputs" sheetId="14" r:id="rId2"/>
    <sheet name="Milestone Proportions" sheetId="16" r:id="rId3"/>
    <sheet name="GBFF Pot" sheetId="17" r:id="rId4"/>
    <sheet name="Project Data" sheetId="12" r:id="rId5"/>
    <sheet name="Milestones" sheetId="13" r:id="rId6"/>
    <sheet name="Aggregate AR Results" sheetId="28" r:id="rId7"/>
    <sheet name="Aggregate ICF Results" sheetId="15" r:id="rId8"/>
    <sheet name="AR25 Results" sheetId="25" r:id="rId9"/>
    <sheet name="AR26 Results" sheetId="30" r:id="rId10"/>
    <sheet name="AR27 Results" sheetId="31" state="hidden" r:id="rId11"/>
    <sheet name="Log Frame" sheetId="10" r:id="rId12"/>
    <sheet name="ICF 25" sheetId="32" r:id="rId13"/>
    <sheet name="ICF 26" sheetId="27" r:id="rId14"/>
    <sheet name="DI 25" sheetId="20" r:id="rId15"/>
    <sheet name="DI 26" sheetId="33" r:id="rId16"/>
  </sheets>
  <definedNames>
    <definedName name="_xlnm._FilterDatabase" localSheetId="12" hidden="1">'ICF 25'!$A$1:$H$11</definedName>
    <definedName name="_xlnm._FilterDatabase" localSheetId="13" hidden="1">'ICF 26'!$A$1:$H$141</definedName>
    <definedName name="_xlnm._FilterDatabase" localSheetId="4" hidden="1">'Project Data'!$A$2:$AQ$2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10" l="1"/>
  <c r="H58" i="10"/>
  <c r="G53" i="10"/>
  <c r="H53" i="10"/>
  <c r="G48" i="10"/>
  <c r="H48" i="10"/>
  <c r="G43" i="10"/>
  <c r="H43" i="10"/>
  <c r="H38" i="10"/>
  <c r="G38" i="10"/>
  <c r="H28" i="10"/>
  <c r="G28" i="10"/>
  <c r="H13" i="10"/>
  <c r="G13" i="10"/>
  <c r="G85" i="10"/>
  <c r="G80" i="10"/>
  <c r="G75" i="10"/>
  <c r="G70" i="10"/>
  <c r="A29" i="12"/>
  <c r="F3" i="16"/>
  <c r="E3" i="16"/>
  <c r="D3" i="16"/>
  <c r="C3" i="16"/>
  <c r="F142" i="27"/>
  <c r="D142" i="27"/>
  <c r="F79" i="32"/>
  <c r="D79" i="32"/>
  <c r="D23" i="28"/>
  <c r="E23" i="28"/>
  <c r="C23" i="28"/>
  <c r="B23" i="28"/>
  <c r="B4" i="27"/>
  <c r="B5" i="27"/>
  <c r="B6" i="27"/>
  <c r="B7" i="27"/>
  <c r="B8" i="27"/>
  <c r="B9" i="27"/>
  <c r="B10" i="27"/>
  <c r="B11" i="27"/>
  <c r="B12" i="27"/>
  <c r="B13" i="27"/>
  <c r="B14" i="27"/>
  <c r="B15" i="27"/>
  <c r="B16" i="27"/>
  <c r="B17" i="27"/>
  <c r="B18" i="27"/>
  <c r="B19" i="27"/>
  <c r="B20" i="27"/>
  <c r="B21" i="27"/>
  <c r="E16" i="15"/>
  <c r="E15" i="15"/>
  <c r="E14" i="15"/>
  <c r="E13" i="15"/>
  <c r="E12" i="15"/>
  <c r="D16" i="15"/>
  <c r="D15" i="15"/>
  <c r="D14" i="15"/>
  <c r="D13" i="15"/>
  <c r="D12" i="15"/>
  <c r="C16" i="15"/>
  <c r="C15" i="15"/>
  <c r="C14" i="15"/>
  <c r="C13" i="15"/>
  <c r="C12" i="15"/>
  <c r="B16" i="15"/>
  <c r="B15" i="15"/>
  <c r="B14" i="15"/>
  <c r="B13" i="15"/>
  <c r="B12" i="15"/>
  <c r="AT3" i="12"/>
  <c r="B5" i="17"/>
  <c r="B2" i="17"/>
  <c r="B6" i="28"/>
  <c r="B6" i="15"/>
  <c r="E18" i="28"/>
  <c r="D18" i="28"/>
  <c r="C18" i="28"/>
  <c r="B18" i="28"/>
  <c r="E16" i="28"/>
  <c r="D16" i="28"/>
  <c r="C16" i="28"/>
  <c r="B16" i="28"/>
  <c r="B29" i="25"/>
  <c r="F29" i="25" s="1"/>
  <c r="G29" i="25" s="1"/>
  <c r="B25" i="25"/>
  <c r="E8" i="15"/>
  <c r="D8" i="15"/>
  <c r="E10" i="15"/>
  <c r="D10" i="15"/>
  <c r="C10" i="15"/>
  <c r="B10" i="15"/>
  <c r="E9" i="15"/>
  <c r="D9" i="15"/>
  <c r="E7" i="15"/>
  <c r="D7" i="15"/>
  <c r="C7" i="15"/>
  <c r="B7" i="15"/>
  <c r="E6" i="15"/>
  <c r="D6" i="15"/>
  <c r="C6" i="15"/>
  <c r="B38" i="32"/>
  <c r="C38" i="32" s="1"/>
  <c r="B27" i="32"/>
  <c r="B5" i="32"/>
  <c r="B4" i="32"/>
  <c r="AT4" i="12"/>
  <c r="AT5" i="12"/>
  <c r="AT6" i="12"/>
  <c r="B6" i="20" s="1"/>
  <c r="AT7" i="12"/>
  <c r="AT8" i="12"/>
  <c r="B8" i="20" s="1"/>
  <c r="AT9" i="12"/>
  <c r="AT10" i="12"/>
  <c r="B3" i="33" s="1"/>
  <c r="AT11" i="12"/>
  <c r="AT12" i="12"/>
  <c r="B5" i="33" s="1"/>
  <c r="AT13" i="12"/>
  <c r="AT14" i="12"/>
  <c r="AT15" i="12"/>
  <c r="AT16" i="12"/>
  <c r="AT17" i="12"/>
  <c r="B10" i="33" s="1"/>
  <c r="AT18" i="12"/>
  <c r="AT19" i="12"/>
  <c r="AT20" i="12"/>
  <c r="B13" i="33" s="1"/>
  <c r="AT21" i="12"/>
  <c r="AT22" i="12"/>
  <c r="AT23" i="12"/>
  <c r="AT24" i="12"/>
  <c r="AT25" i="12"/>
  <c r="B18" i="33" s="1"/>
  <c r="AT26" i="12"/>
  <c r="AT27" i="12"/>
  <c r="B20" i="33" s="1"/>
  <c r="AT28" i="12"/>
  <c r="B21" i="33" s="1"/>
  <c r="B44" i="32"/>
  <c r="C44" i="32" s="1"/>
  <c r="B43" i="32"/>
  <c r="C43" i="32" s="1"/>
  <c r="B42" i="32"/>
  <c r="C42" i="32" s="1"/>
  <c r="B41" i="32"/>
  <c r="C41" i="32" s="1"/>
  <c r="B40" i="32"/>
  <c r="C40" i="32" s="1"/>
  <c r="B39" i="32"/>
  <c r="C39" i="32" s="1"/>
  <c r="B37" i="32"/>
  <c r="C37" i="32" s="1"/>
  <c r="B36" i="32"/>
  <c r="C36" i="32" s="1"/>
  <c r="B33" i="32"/>
  <c r="C33" i="32" s="1"/>
  <c r="B32" i="32"/>
  <c r="C32" i="32" s="1"/>
  <c r="B31" i="32"/>
  <c r="C31" i="32" s="1"/>
  <c r="B30" i="32"/>
  <c r="C30" i="32" s="1"/>
  <c r="B29" i="32"/>
  <c r="B28" i="32"/>
  <c r="C28" i="32" s="1"/>
  <c r="B26" i="32"/>
  <c r="B25" i="32"/>
  <c r="B10" i="32"/>
  <c r="B11" i="32"/>
  <c r="B9" i="32"/>
  <c r="B6" i="32"/>
  <c r="B7" i="32"/>
  <c r="B8" i="32"/>
  <c r="B3" i="32"/>
  <c r="E19" i="28"/>
  <c r="D19" i="28"/>
  <c r="B31" i="31" s="1"/>
  <c r="F31" i="31" s="1"/>
  <c r="G31" i="31" s="1"/>
  <c r="B19" i="28"/>
  <c r="E17" i="28"/>
  <c r="D17" i="28"/>
  <c r="B27" i="31" s="1"/>
  <c r="F27" i="31" s="1"/>
  <c r="G27" i="31" s="1"/>
  <c r="E15" i="28"/>
  <c r="D15" i="28"/>
  <c r="B24" i="31" s="1"/>
  <c r="F24" i="31" s="1"/>
  <c r="G24" i="31" s="1"/>
  <c r="E14" i="28"/>
  <c r="D14" i="28"/>
  <c r="B23" i="31" s="1"/>
  <c r="F23" i="31" s="1"/>
  <c r="G23" i="31" s="1"/>
  <c r="B14" i="28"/>
  <c r="E13" i="28"/>
  <c r="D13" i="28"/>
  <c r="B22" i="31" s="1"/>
  <c r="C22" i="31" s="1"/>
  <c r="G22" i="31" s="1"/>
  <c r="C13" i="28"/>
  <c r="B22" i="30" s="1"/>
  <c r="C22" i="30" s="1"/>
  <c r="G22" i="30" s="1"/>
  <c r="B13" i="28"/>
  <c r="B22" i="25" s="1"/>
  <c r="E12" i="28"/>
  <c r="D12" i="28"/>
  <c r="B21" i="31" s="1"/>
  <c r="C21" i="31" s="1"/>
  <c r="G21" i="31" s="1"/>
  <c r="C12" i="28"/>
  <c r="B21" i="30" s="1"/>
  <c r="C21" i="30" s="1"/>
  <c r="G21" i="30" s="1"/>
  <c r="B12" i="28"/>
  <c r="B21" i="25" s="1"/>
  <c r="E11" i="28"/>
  <c r="D11" i="28"/>
  <c r="E10" i="28"/>
  <c r="D10" i="28"/>
  <c r="B20" i="31" s="1"/>
  <c r="C20" i="31" s="1"/>
  <c r="G20" i="31" s="1"/>
  <c r="C10" i="28"/>
  <c r="B20" i="30" s="1"/>
  <c r="C20" i="30" s="1"/>
  <c r="G20" i="30" s="1"/>
  <c r="B10" i="28"/>
  <c r="B20" i="25" s="1"/>
  <c r="E9" i="28"/>
  <c r="D9" i="28"/>
  <c r="B19" i="31" s="1"/>
  <c r="C19" i="31" s="1"/>
  <c r="G19" i="31" s="1"/>
  <c r="C9" i="28"/>
  <c r="B19" i="30" s="1"/>
  <c r="C19" i="30" s="1"/>
  <c r="G19" i="30" s="1"/>
  <c r="B9" i="28"/>
  <c r="B19" i="25" s="1"/>
  <c r="E8" i="28"/>
  <c r="D8" i="28"/>
  <c r="B18" i="31" s="1"/>
  <c r="C18" i="31" s="1"/>
  <c r="G18" i="31" s="1"/>
  <c r="C8" i="28"/>
  <c r="B18" i="30" s="1"/>
  <c r="C18" i="30" s="1"/>
  <c r="G18" i="30" s="1"/>
  <c r="B8" i="28"/>
  <c r="B18" i="25" s="1"/>
  <c r="E7" i="28"/>
  <c r="D7" i="28"/>
  <c r="B17" i="31" s="1"/>
  <c r="C17" i="31" s="1"/>
  <c r="G17" i="31" s="1"/>
  <c r="C7" i="28"/>
  <c r="B17" i="30" s="1"/>
  <c r="C17" i="30" s="1"/>
  <c r="G17" i="30" s="1"/>
  <c r="B7" i="28"/>
  <c r="B17" i="25" s="1"/>
  <c r="E6" i="28"/>
  <c r="D6" i="28"/>
  <c r="B16" i="31" s="1"/>
  <c r="C16" i="31" s="1"/>
  <c r="G16" i="31" s="1"/>
  <c r="C6" i="28"/>
  <c r="B16" i="25"/>
  <c r="E22" i="28"/>
  <c r="D22" i="28"/>
  <c r="B29" i="31"/>
  <c r="F29" i="31" s="1"/>
  <c r="G29" i="31" s="1"/>
  <c r="B29" i="30"/>
  <c r="F29" i="30" s="1"/>
  <c r="B25" i="31"/>
  <c r="F25" i="31" s="1"/>
  <c r="G25" i="31" s="1"/>
  <c r="F13" i="28"/>
  <c r="F12" i="28"/>
  <c r="F10" i="28"/>
  <c r="F9" i="28"/>
  <c r="F8" i="28"/>
  <c r="F7" i="28"/>
  <c r="B7" i="31"/>
  <c r="E7" i="31" s="1"/>
  <c r="B6" i="31"/>
  <c r="E6" i="31" s="1"/>
  <c r="B7" i="25"/>
  <c r="E7" i="25" s="1"/>
  <c r="F7" i="25" s="1"/>
  <c r="G7" i="25" s="1"/>
  <c r="B4" i="31"/>
  <c r="C4" i="31" s="1"/>
  <c r="G4" i="31" s="1"/>
  <c r="B4" i="30"/>
  <c r="C4" i="30" s="1"/>
  <c r="G4" i="30" s="1"/>
  <c r="B4" i="25"/>
  <c r="C4" i="25" s="1"/>
  <c r="G4" i="25" s="1"/>
  <c r="B3" i="31"/>
  <c r="C3" i="31" s="1"/>
  <c r="G3" i="31" s="1"/>
  <c r="B3" i="30"/>
  <c r="C3" i="30" s="1"/>
  <c r="G3" i="30" s="1"/>
  <c r="B3" i="25"/>
  <c r="C3" i="25" s="1"/>
  <c r="G3" i="25" s="1"/>
  <c r="B5" i="31"/>
  <c r="C5" i="31" s="1"/>
  <c r="G5" i="31" s="1"/>
  <c r="B13" i="31"/>
  <c r="C13" i="31" s="1"/>
  <c r="G13" i="31" s="1"/>
  <c r="B13" i="30"/>
  <c r="C13" i="30" s="1"/>
  <c r="B13" i="25"/>
  <c r="C13" i="25" s="1"/>
  <c r="D13" i="25" s="1"/>
  <c r="B12" i="31"/>
  <c r="C12" i="31" s="1"/>
  <c r="G12" i="31" s="1"/>
  <c r="B12" i="30"/>
  <c r="C12" i="30" s="1"/>
  <c r="B12" i="25"/>
  <c r="C12" i="25" s="1"/>
  <c r="D12" i="25" s="1"/>
  <c r="G12" i="25" s="1"/>
  <c r="B11" i="31"/>
  <c r="C11" i="31" s="1"/>
  <c r="G11" i="31" s="1"/>
  <c r="B11" i="30"/>
  <c r="C11" i="30" s="1"/>
  <c r="B11" i="25"/>
  <c r="C11" i="25" s="1"/>
  <c r="D11" i="25" s="1"/>
  <c r="G11" i="25" s="1"/>
  <c r="B10" i="30"/>
  <c r="C10" i="30" s="1"/>
  <c r="B10" i="31"/>
  <c r="C10" i="31" s="1"/>
  <c r="G10" i="31" s="1"/>
  <c r="B10" i="25"/>
  <c r="C10" i="25" s="1"/>
  <c r="D10" i="25" s="1"/>
  <c r="G10" i="25" s="1"/>
  <c r="E11" i="15"/>
  <c r="B9" i="31"/>
  <c r="B9" i="30"/>
  <c r="B9" i="25"/>
  <c r="E15" i="13"/>
  <c r="H15" i="13"/>
  <c r="E16" i="13"/>
  <c r="H16" i="13"/>
  <c r="AQ29" i="12"/>
  <c r="AP29" i="12"/>
  <c r="AL29" i="12"/>
  <c r="AM29" i="12"/>
  <c r="AN29" i="12"/>
  <c r="AO29" i="12"/>
  <c r="AK29" i="12"/>
  <c r="AJ29" i="12"/>
  <c r="AI29" i="12"/>
  <c r="AG29" i="12"/>
  <c r="AD29" i="12"/>
  <c r="AE29" i="12"/>
  <c r="AF29" i="12"/>
  <c r="AC29" i="12"/>
  <c r="AB29" i="12"/>
  <c r="Y29" i="12"/>
  <c r="AA29" i="12"/>
  <c r="X29" i="12"/>
  <c r="W29" i="12"/>
  <c r="V29" i="12"/>
  <c r="U29" i="12"/>
  <c r="T29" i="12"/>
  <c r="S29" i="12"/>
  <c r="R29" i="12"/>
  <c r="Q29" i="12"/>
  <c r="C14" i="14"/>
  <c r="C12" i="14"/>
  <c r="E19" i="15"/>
  <c r="D19" i="15"/>
  <c r="B34" i="31" s="1"/>
  <c r="C13" i="14"/>
  <c r="B81" i="27"/>
  <c r="C81" i="27" s="1"/>
  <c r="B80" i="27"/>
  <c r="C80" i="27" s="1"/>
  <c r="B79" i="27"/>
  <c r="C79" i="27" s="1"/>
  <c r="B78" i="27"/>
  <c r="C78" i="27" s="1"/>
  <c r="B77" i="27"/>
  <c r="C77" i="27" s="1"/>
  <c r="B76" i="27"/>
  <c r="C76" i="27" s="1"/>
  <c r="B75" i="27"/>
  <c r="C75" i="27" s="1"/>
  <c r="B74" i="27"/>
  <c r="C74" i="27" s="1"/>
  <c r="B73" i="27"/>
  <c r="C73" i="27" s="1"/>
  <c r="B72" i="27"/>
  <c r="C72" i="27" s="1"/>
  <c r="B71" i="27"/>
  <c r="C71" i="27" s="1"/>
  <c r="B70" i="27"/>
  <c r="C70" i="27" s="1"/>
  <c r="B69" i="27"/>
  <c r="C69" i="27" s="1"/>
  <c r="B68" i="27"/>
  <c r="C68" i="27" s="1"/>
  <c r="B67" i="27"/>
  <c r="C67" i="27" s="1"/>
  <c r="B66" i="27"/>
  <c r="C66" i="27" s="1"/>
  <c r="B65" i="27"/>
  <c r="C65" i="27" s="1"/>
  <c r="B64" i="27"/>
  <c r="C64" i="27" s="1"/>
  <c r="B63" i="27"/>
  <c r="C63" i="27" s="1"/>
  <c r="B121" i="27"/>
  <c r="B120" i="27"/>
  <c r="B119" i="27"/>
  <c r="B118" i="27"/>
  <c r="B117" i="27"/>
  <c r="B116" i="27"/>
  <c r="B115" i="27"/>
  <c r="B114" i="27"/>
  <c r="B113" i="27"/>
  <c r="B112" i="27"/>
  <c r="B111" i="27"/>
  <c r="B110" i="27"/>
  <c r="B109" i="27"/>
  <c r="B108" i="27"/>
  <c r="B107" i="27"/>
  <c r="B106" i="27"/>
  <c r="B105" i="27"/>
  <c r="B104" i="27"/>
  <c r="B103" i="27"/>
  <c r="B102" i="27" s="1"/>
  <c r="B61" i="27"/>
  <c r="C61" i="27" s="1"/>
  <c r="B60" i="27"/>
  <c r="C60" i="27" s="1"/>
  <c r="B59" i="27"/>
  <c r="B58" i="27"/>
  <c r="C58" i="27" s="1"/>
  <c r="B57" i="27"/>
  <c r="B56" i="27"/>
  <c r="B55" i="27"/>
  <c r="B54" i="27"/>
  <c r="B53" i="27"/>
  <c r="C53" i="27" s="1"/>
  <c r="B52" i="27"/>
  <c r="B51" i="27"/>
  <c r="B50" i="27"/>
  <c r="C50" i="27" s="1"/>
  <c r="B49" i="27"/>
  <c r="B48" i="27"/>
  <c r="B47" i="27"/>
  <c r="B46" i="27"/>
  <c r="B45" i="27"/>
  <c r="C45" i="27" s="1"/>
  <c r="B44" i="27"/>
  <c r="B43" i="27"/>
  <c r="C43" i="27" s="1"/>
  <c r="B3" i="27"/>
  <c r="O3" i="12"/>
  <c r="O4" i="12"/>
  <c r="O5" i="12"/>
  <c r="O6" i="12"/>
  <c r="O7" i="12"/>
  <c r="O8" i="12"/>
  <c r="O9" i="12"/>
  <c r="O10" i="12"/>
  <c r="O12" i="12"/>
  <c r="O13" i="12"/>
  <c r="O14" i="12"/>
  <c r="O15" i="12"/>
  <c r="O16" i="12"/>
  <c r="O17" i="12"/>
  <c r="O18" i="12"/>
  <c r="O19" i="12"/>
  <c r="O20" i="12"/>
  <c r="O21" i="12"/>
  <c r="O22" i="12"/>
  <c r="O23" i="12"/>
  <c r="O24" i="12"/>
  <c r="O25" i="12"/>
  <c r="O27" i="12"/>
  <c r="M26" i="12"/>
  <c r="M15" i="12"/>
  <c r="AH25" i="12"/>
  <c r="C38" i="27" s="1"/>
  <c r="L21" i="12"/>
  <c r="L20" i="12"/>
  <c r="J18" i="12"/>
  <c r="M18" i="12"/>
  <c r="P18" i="12"/>
  <c r="AH18" i="12"/>
  <c r="C31" i="27" s="1"/>
  <c r="Z16" i="12"/>
  <c r="Z29" i="12" s="1"/>
  <c r="J16" i="12"/>
  <c r="L13" i="12"/>
  <c r="N11" i="12"/>
  <c r="C19" i="28" s="1"/>
  <c r="K10" i="12"/>
  <c r="C14" i="28" s="1"/>
  <c r="J10" i="12"/>
  <c r="M10" i="12"/>
  <c r="P10" i="12"/>
  <c r="J11" i="12"/>
  <c r="M11" i="12"/>
  <c r="P11" i="12"/>
  <c r="J12" i="12"/>
  <c r="M12" i="12"/>
  <c r="P12" i="12"/>
  <c r="J13" i="12"/>
  <c r="M13" i="12"/>
  <c r="P13" i="12"/>
  <c r="AH13" i="12"/>
  <c r="J14" i="12"/>
  <c r="M14" i="12"/>
  <c r="P14" i="12"/>
  <c r="AH14" i="12"/>
  <c r="C27" i="27" s="1"/>
  <c r="J15" i="12"/>
  <c r="P15" i="12"/>
  <c r="AH15" i="12"/>
  <c r="C28" i="27" s="1"/>
  <c r="M16" i="12"/>
  <c r="P16" i="12"/>
  <c r="AH16" i="12"/>
  <c r="C29" i="27" s="1"/>
  <c r="J17" i="12"/>
  <c r="M17" i="12"/>
  <c r="P17" i="12"/>
  <c r="J19" i="12"/>
  <c r="M19" i="12"/>
  <c r="P19" i="12"/>
  <c r="AH19" i="12"/>
  <c r="C32" i="27" s="1"/>
  <c r="J20" i="12"/>
  <c r="M20" i="12"/>
  <c r="P20" i="12"/>
  <c r="J21" i="12"/>
  <c r="M21" i="12"/>
  <c r="P21" i="12"/>
  <c r="AH21" i="12"/>
  <c r="C34" i="27" s="1"/>
  <c r="J22" i="12"/>
  <c r="M22" i="12"/>
  <c r="P22" i="12"/>
  <c r="J23" i="12"/>
  <c r="M23" i="12"/>
  <c r="P23" i="12"/>
  <c r="AH23" i="12"/>
  <c r="C36" i="27" s="1"/>
  <c r="J24" i="12"/>
  <c r="M24" i="12"/>
  <c r="P24" i="12"/>
  <c r="J25" i="12"/>
  <c r="M25" i="12"/>
  <c r="P25" i="12"/>
  <c r="J26" i="12"/>
  <c r="P26" i="12"/>
  <c r="J27" i="12"/>
  <c r="M27" i="12"/>
  <c r="P27" i="12"/>
  <c r="J28" i="12"/>
  <c r="M28" i="12"/>
  <c r="P28" i="12"/>
  <c r="G15" i="13" l="1"/>
  <c r="G16" i="13"/>
  <c r="F15" i="13"/>
  <c r="F16" i="13"/>
  <c r="C144" i="27"/>
  <c r="C145" i="27"/>
  <c r="C146" i="27"/>
  <c r="C147" i="27"/>
  <c r="C148" i="27"/>
  <c r="C149" i="27"/>
  <c r="C150" i="27"/>
  <c r="C151" i="27"/>
  <c r="C152" i="27"/>
  <c r="C153" i="27"/>
  <c r="C154" i="27"/>
  <c r="C155" i="27"/>
  <c r="C156" i="27"/>
  <c r="C157" i="27"/>
  <c r="C158" i="27"/>
  <c r="C159" i="27"/>
  <c r="C160" i="27"/>
  <c r="C161" i="27"/>
  <c r="C143" i="27"/>
  <c r="C142" i="27" s="1"/>
  <c r="E142" i="27" s="1"/>
  <c r="C88" i="32"/>
  <c r="C87" i="32"/>
  <c r="C86" i="32"/>
  <c r="C85" i="32"/>
  <c r="C84" i="32"/>
  <c r="C83" i="32"/>
  <c r="C82" i="32"/>
  <c r="C81" i="32"/>
  <c r="C80" i="32"/>
  <c r="C79" i="32" s="1"/>
  <c r="H69" i="32"/>
  <c r="B25" i="33"/>
  <c r="B26" i="33"/>
  <c r="B27" i="33"/>
  <c r="B28" i="33"/>
  <c r="B29" i="33"/>
  <c r="B30" i="33"/>
  <c r="B31" i="33"/>
  <c r="B32" i="33"/>
  <c r="B33" i="33"/>
  <c r="B34" i="33"/>
  <c r="B35" i="33"/>
  <c r="B36" i="33"/>
  <c r="B37" i="33"/>
  <c r="B38" i="33"/>
  <c r="B39" i="33"/>
  <c r="B40" i="33"/>
  <c r="B41" i="33"/>
  <c r="B42" i="33"/>
  <c r="B24" i="33"/>
  <c r="B23" i="33" s="1"/>
  <c r="D23" i="33" s="1"/>
  <c r="B21" i="20"/>
  <c r="B22" i="20"/>
  <c r="B20" i="20"/>
  <c r="B14" i="20"/>
  <c r="B19" i="20"/>
  <c r="B18" i="20"/>
  <c r="B17" i="20"/>
  <c r="B16" i="20"/>
  <c r="B15" i="20"/>
  <c r="H124" i="27"/>
  <c r="H126" i="27"/>
  <c r="H127" i="27"/>
  <c r="H128" i="27"/>
  <c r="H129" i="27"/>
  <c r="H131" i="27"/>
  <c r="H132" i="27"/>
  <c r="H134" i="27"/>
  <c r="H135" i="27"/>
  <c r="H136" i="27"/>
  <c r="H137" i="27"/>
  <c r="H139" i="27"/>
  <c r="C124" i="27"/>
  <c r="C126" i="27"/>
  <c r="C127" i="27"/>
  <c r="C128" i="27"/>
  <c r="C129" i="27"/>
  <c r="C131" i="27"/>
  <c r="C132" i="27"/>
  <c r="C134" i="27"/>
  <c r="C135" i="27"/>
  <c r="C136" i="27"/>
  <c r="C137" i="27"/>
  <c r="C139" i="27"/>
  <c r="C24" i="27"/>
  <c r="C25" i="27"/>
  <c r="C30" i="27"/>
  <c r="C33" i="27"/>
  <c r="C35" i="27"/>
  <c r="C37" i="27"/>
  <c r="C39" i="27"/>
  <c r="C40" i="27"/>
  <c r="C41" i="27"/>
  <c r="C23" i="27"/>
  <c r="H73" i="32"/>
  <c r="H71" i="32"/>
  <c r="H70" i="32"/>
  <c r="C69" i="32"/>
  <c r="C70" i="32"/>
  <c r="C71" i="32"/>
  <c r="C73" i="32"/>
  <c r="C26" i="27"/>
  <c r="C8" i="15"/>
  <c r="B19" i="33"/>
  <c r="C99" i="27"/>
  <c r="B17" i="33"/>
  <c r="C97" i="27"/>
  <c r="B16" i="33"/>
  <c r="C96" i="27"/>
  <c r="B15" i="33"/>
  <c r="C95" i="27"/>
  <c r="B14" i="33"/>
  <c r="C94" i="27"/>
  <c r="B12" i="33"/>
  <c r="C92" i="27"/>
  <c r="B11" i="33"/>
  <c r="C91" i="27"/>
  <c r="B9" i="33"/>
  <c r="C89" i="27"/>
  <c r="B8" i="33"/>
  <c r="C88" i="27"/>
  <c r="B7" i="33"/>
  <c r="C87" i="27"/>
  <c r="B6" i="33"/>
  <c r="C86" i="27"/>
  <c r="B4" i="33"/>
  <c r="C84" i="27"/>
  <c r="C82" i="27" s="1"/>
  <c r="B2" i="33"/>
  <c r="D2" i="33" s="1"/>
  <c r="B10" i="20"/>
  <c r="B11" i="20"/>
  <c r="B9" i="20"/>
  <c r="C51" i="32"/>
  <c r="B7" i="20"/>
  <c r="C49" i="32"/>
  <c r="B5" i="20"/>
  <c r="C48" i="32"/>
  <c r="B4" i="20"/>
  <c r="C47" i="32"/>
  <c r="B3" i="20"/>
  <c r="B2" i="20" s="1"/>
  <c r="D2" i="20" s="1"/>
  <c r="C122" i="27"/>
  <c r="E102" i="27"/>
  <c r="G102" i="27"/>
  <c r="C59" i="27"/>
  <c r="C57" i="27"/>
  <c r="C56" i="27"/>
  <c r="C55" i="27"/>
  <c r="C54" i="27"/>
  <c r="C52" i="27"/>
  <c r="C51" i="27"/>
  <c r="C49" i="27"/>
  <c r="C48" i="27"/>
  <c r="C47" i="27"/>
  <c r="C46" i="27"/>
  <c r="C44" i="27"/>
  <c r="C9" i="15"/>
  <c r="C5" i="32"/>
  <c r="H5" i="32"/>
  <c r="C4" i="32"/>
  <c r="H4" i="32"/>
  <c r="H10" i="32"/>
  <c r="C10" i="32"/>
  <c r="G10" i="32" s="1"/>
  <c r="C11" i="32"/>
  <c r="H11" i="32"/>
  <c r="H9" i="32"/>
  <c r="C9" i="32"/>
  <c r="G9" i="32" s="1"/>
  <c r="C6" i="32"/>
  <c r="H6" i="32"/>
  <c r="H7" i="32"/>
  <c r="C7" i="32"/>
  <c r="G7" i="32" s="1"/>
  <c r="C8" i="32"/>
  <c r="H8" i="32"/>
  <c r="H3" i="32"/>
  <c r="C3" i="32"/>
  <c r="B31" i="25"/>
  <c r="F31" i="25" s="1"/>
  <c r="G31" i="25" s="1"/>
  <c r="B23" i="25"/>
  <c r="B16" i="30"/>
  <c r="C16" i="30" s="1"/>
  <c r="G16" i="30" s="1"/>
  <c r="F6" i="28"/>
  <c r="H4" i="27"/>
  <c r="C4" i="27"/>
  <c r="H5" i="27"/>
  <c r="C5" i="27"/>
  <c r="C6" i="27"/>
  <c r="H6" i="27"/>
  <c r="C7" i="27"/>
  <c r="H7" i="27"/>
  <c r="H8" i="27"/>
  <c r="C8" i="27"/>
  <c r="C9" i="27"/>
  <c r="H9" i="27"/>
  <c r="H10" i="27"/>
  <c r="C10" i="27"/>
  <c r="H11" i="27"/>
  <c r="C11" i="27"/>
  <c r="C12" i="27"/>
  <c r="H12" i="27"/>
  <c r="C13" i="27"/>
  <c r="H13" i="27"/>
  <c r="C14" i="27"/>
  <c r="H14" i="27"/>
  <c r="C15" i="27"/>
  <c r="H15" i="27"/>
  <c r="C16" i="27"/>
  <c r="H16" i="27"/>
  <c r="C17" i="27"/>
  <c r="H17" i="27"/>
  <c r="C18" i="27"/>
  <c r="H18" i="27"/>
  <c r="C19" i="27"/>
  <c r="H19" i="27"/>
  <c r="H20" i="27"/>
  <c r="C20" i="27"/>
  <c r="H21" i="27"/>
  <c r="C21" i="27"/>
  <c r="H3" i="27"/>
  <c r="C3" i="27"/>
  <c r="B13" i="20"/>
  <c r="D13" i="20" s="1"/>
  <c r="AT29" i="12"/>
  <c r="C15" i="28"/>
  <c r="B24" i="30" s="1"/>
  <c r="F24" i="30" s="1"/>
  <c r="G24" i="30" s="1"/>
  <c r="C17" i="28"/>
  <c r="B27" i="30" s="1"/>
  <c r="F27" i="30" s="1"/>
  <c r="G27" i="30" s="1"/>
  <c r="F18" i="28"/>
  <c r="B31" i="30"/>
  <c r="F31" i="30" s="1"/>
  <c r="G31" i="30" s="1"/>
  <c r="F19" i="28"/>
  <c r="B23" i="30"/>
  <c r="F23" i="30" s="1"/>
  <c r="G23" i="30" s="1"/>
  <c r="F14" i="28"/>
  <c r="C22" i="28"/>
  <c r="C25" i="28" s="1"/>
  <c r="C19" i="15"/>
  <c r="B34" i="30" s="1"/>
  <c r="H34" i="30" s="1"/>
  <c r="C11" i="28"/>
  <c r="D11" i="15"/>
  <c r="B8" i="31" s="1"/>
  <c r="C8" i="31" s="1"/>
  <c r="G8" i="31" s="1"/>
  <c r="C11" i="15"/>
  <c r="B8" i="30" s="1"/>
  <c r="C8" i="30" s="1"/>
  <c r="B11" i="15"/>
  <c r="F7" i="31"/>
  <c r="G7" i="31" s="1"/>
  <c r="F6" i="31"/>
  <c r="G6" i="31" s="1"/>
  <c r="C9" i="31"/>
  <c r="G9" i="31" s="1"/>
  <c r="C9" i="30"/>
  <c r="C9" i="25"/>
  <c r="D9" i="25" s="1"/>
  <c r="G9" i="25" s="1"/>
  <c r="D9" i="31"/>
  <c r="D10" i="31"/>
  <c r="D11" i="31"/>
  <c r="D12" i="31"/>
  <c r="D13" i="31"/>
  <c r="D16" i="31"/>
  <c r="D17" i="31"/>
  <c r="D18" i="31"/>
  <c r="D19" i="31"/>
  <c r="D20" i="31"/>
  <c r="B26" i="31"/>
  <c r="H26" i="31" s="1"/>
  <c r="B28" i="31"/>
  <c r="H28" i="31" s="1"/>
  <c r="B30" i="31"/>
  <c r="H30" i="31" s="1"/>
  <c r="B32" i="31"/>
  <c r="H32" i="31" s="1"/>
  <c r="D9" i="30"/>
  <c r="G9" i="30" s="1"/>
  <c r="D10" i="30"/>
  <c r="G10" i="30" s="1"/>
  <c r="D11" i="30"/>
  <c r="G11" i="30" s="1"/>
  <c r="D12" i="30"/>
  <c r="G12" i="30" s="1"/>
  <c r="D13" i="30"/>
  <c r="G13" i="30" s="1"/>
  <c r="B26" i="30"/>
  <c r="H26" i="30" s="1"/>
  <c r="B28" i="30"/>
  <c r="H28" i="30" s="1"/>
  <c r="B30" i="30"/>
  <c r="H30" i="30" s="1"/>
  <c r="G29" i="30"/>
  <c r="B32" i="30"/>
  <c r="H32" i="30" s="1"/>
  <c r="B6" i="30"/>
  <c r="E6" i="30" s="1"/>
  <c r="C16" i="25"/>
  <c r="G16" i="25" s="1"/>
  <c r="C17" i="25"/>
  <c r="G17" i="25" s="1"/>
  <c r="C18" i="25"/>
  <c r="G18" i="25" s="1"/>
  <c r="C19" i="25"/>
  <c r="G19" i="25" s="1"/>
  <c r="C20" i="25"/>
  <c r="G20" i="25" s="1"/>
  <c r="C21" i="25"/>
  <c r="G21" i="25" s="1"/>
  <c r="C22" i="25"/>
  <c r="G22" i="25" s="1"/>
  <c r="F25" i="25"/>
  <c r="G25" i="25" s="1"/>
  <c r="N29" i="12"/>
  <c r="O11" i="12"/>
  <c r="G5" i="27"/>
  <c r="G13" i="27"/>
  <c r="G3" i="27"/>
  <c r="G10" i="27"/>
  <c r="G20" i="27"/>
  <c r="G18" i="27"/>
  <c r="G21" i="27"/>
  <c r="M3" i="12"/>
  <c r="M4" i="12"/>
  <c r="C26" i="32" s="1"/>
  <c r="M5" i="12"/>
  <c r="C27" i="32" s="1"/>
  <c r="M6" i="12"/>
  <c r="M7" i="12"/>
  <c r="C29" i="32" s="1"/>
  <c r="M8" i="12"/>
  <c r="M9" i="12"/>
  <c r="F29" i="12"/>
  <c r="G29" i="12"/>
  <c r="H29" i="12"/>
  <c r="I29" i="12"/>
  <c r="K29" i="12"/>
  <c r="L29" i="12"/>
  <c r="F85" i="10"/>
  <c r="H85" i="10"/>
  <c r="E85" i="10"/>
  <c r="F80" i="10"/>
  <c r="H80" i="10"/>
  <c r="E80" i="10"/>
  <c r="F75" i="10"/>
  <c r="H75" i="10"/>
  <c r="E75" i="10"/>
  <c r="F70" i="10"/>
  <c r="H70" i="10"/>
  <c r="E70" i="10"/>
  <c r="C3" i="13"/>
  <c r="C4" i="13"/>
  <c r="C5" i="13"/>
  <c r="C6" i="13"/>
  <c r="B7" i="13"/>
  <c r="C7" i="13" s="1"/>
  <c r="P3" i="12"/>
  <c r="P4" i="12"/>
  <c r="P5" i="12"/>
  <c r="P6" i="12"/>
  <c r="P7" i="12"/>
  <c r="P8" i="12"/>
  <c r="D9" i="12"/>
  <c r="P9" i="12" s="1"/>
  <c r="J4" i="12"/>
  <c r="J5" i="12"/>
  <c r="J6" i="12"/>
  <c r="J7" i="12"/>
  <c r="J8" i="12"/>
  <c r="J9" i="12"/>
  <c r="J3" i="12"/>
  <c r="F12" i="15"/>
  <c r="AH3" i="12"/>
  <c r="AH4" i="12"/>
  <c r="C15" i="32" s="1"/>
  <c r="AH5" i="12"/>
  <c r="C16" i="32" s="1"/>
  <c r="AH6" i="12"/>
  <c r="C17" i="32" s="1"/>
  <c r="AH7" i="12"/>
  <c r="C18" i="32" s="1"/>
  <c r="AH8" i="12"/>
  <c r="C19" i="32" s="1"/>
  <c r="AH9" i="12"/>
  <c r="C11" i="13"/>
  <c r="C12" i="13"/>
  <c r="C13" i="13"/>
  <c r="C14" i="13"/>
  <c r="C10" i="13"/>
  <c r="H68" i="32" l="1"/>
  <c r="C22" i="32"/>
  <c r="C20" i="32"/>
  <c r="C21" i="32"/>
  <c r="C14" i="32"/>
  <c r="B8" i="15"/>
  <c r="G3" i="32"/>
  <c r="C2" i="32"/>
  <c r="B8" i="25"/>
  <c r="C8" i="25" s="1"/>
  <c r="D8" i="25" s="1"/>
  <c r="G8" i="25" s="1"/>
  <c r="G13" i="25" s="1"/>
  <c r="F11" i="15"/>
  <c r="G5" i="32"/>
  <c r="G4" i="32"/>
  <c r="G11" i="32"/>
  <c r="G6" i="32"/>
  <c r="G8" i="32"/>
  <c r="B9" i="15"/>
  <c r="C25" i="32"/>
  <c r="E3" i="13"/>
  <c r="F3" i="13"/>
  <c r="H3" i="13"/>
  <c r="G3" i="13"/>
  <c r="E4" i="13"/>
  <c r="F13" i="32" s="1"/>
  <c r="F4" i="13"/>
  <c r="G4" i="13"/>
  <c r="H4" i="13"/>
  <c r="E5" i="13"/>
  <c r="F5" i="13"/>
  <c r="G5" i="13"/>
  <c r="H5" i="13"/>
  <c r="E6" i="13"/>
  <c r="F6" i="13"/>
  <c r="G6" i="13"/>
  <c r="H6" i="13"/>
  <c r="E7" i="13"/>
  <c r="F7" i="13"/>
  <c r="G7" i="13"/>
  <c r="H7" i="13"/>
  <c r="E11" i="13"/>
  <c r="F11" i="13"/>
  <c r="G11" i="13"/>
  <c r="H11" i="13"/>
  <c r="E12" i="13"/>
  <c r="F12" i="13"/>
  <c r="G12" i="13"/>
  <c r="H12" i="13"/>
  <c r="E13" i="13"/>
  <c r="F13" i="13"/>
  <c r="G13" i="13"/>
  <c r="H13" i="13"/>
  <c r="E14" i="13"/>
  <c r="H14" i="13"/>
  <c r="G14" i="13"/>
  <c r="F14" i="13"/>
  <c r="F10" i="13"/>
  <c r="G10" i="13"/>
  <c r="H10" i="13"/>
  <c r="E10" i="13"/>
  <c r="B15" i="28"/>
  <c r="B17" i="28"/>
  <c r="B25" i="30"/>
  <c r="F25" i="30" s="1"/>
  <c r="G25" i="30" s="1"/>
  <c r="F16" i="28"/>
  <c r="B7" i="30"/>
  <c r="E7" i="30"/>
  <c r="F7" i="30" s="1"/>
  <c r="G7" i="30" s="1"/>
  <c r="B5" i="30"/>
  <c r="C5" i="30"/>
  <c r="G5" i="30" s="1"/>
  <c r="D8" i="31"/>
  <c r="D8" i="30"/>
  <c r="G8" i="30" s="1"/>
  <c r="B24" i="25"/>
  <c r="F15" i="28"/>
  <c r="B27" i="25"/>
  <c r="F27" i="25" s="1"/>
  <c r="G27" i="25" s="1"/>
  <c r="F17" i="28"/>
  <c r="B22" i="28"/>
  <c r="B19" i="15"/>
  <c r="B34" i="25" s="1"/>
  <c r="H34" i="25" s="1"/>
  <c r="B11" i="28"/>
  <c r="F11" i="28" s="1"/>
  <c r="B5" i="25"/>
  <c r="AH29" i="12"/>
  <c r="F6" i="30"/>
  <c r="G6" i="30" s="1"/>
  <c r="B30" i="25"/>
  <c r="B28" i="25"/>
  <c r="B26" i="25"/>
  <c r="H26" i="25" s="1"/>
  <c r="B6" i="25"/>
  <c r="E6" i="25" s="1"/>
  <c r="F6" i="25" s="1"/>
  <c r="G6" i="25" s="1"/>
  <c r="B32" i="25"/>
  <c r="H32" i="25" s="1"/>
  <c r="F23" i="25"/>
  <c r="G23" i="25" s="1"/>
  <c r="F16" i="15"/>
  <c r="F7" i="15"/>
  <c r="F15" i="15"/>
  <c r="J29" i="12"/>
  <c r="H30" i="25"/>
  <c r="F10" i="15"/>
  <c r="F14" i="15"/>
  <c r="F13" i="15"/>
  <c r="C5" i="25"/>
  <c r="G5" i="25" s="1"/>
  <c r="F6" i="15"/>
  <c r="M29" i="12"/>
  <c r="P29" i="12"/>
  <c r="E38" i="10"/>
  <c r="E58" i="10"/>
  <c r="E53" i="10"/>
  <c r="E48" i="10"/>
  <c r="E43" i="10"/>
  <c r="B25" i="28" l="1"/>
  <c r="F71" i="10"/>
  <c r="F76" i="10"/>
  <c r="E76" i="10"/>
  <c r="E2" i="33"/>
  <c r="C2" i="33"/>
  <c r="F22" i="28"/>
  <c r="E81" i="10"/>
  <c r="F81" i="10"/>
  <c r="F86" i="10"/>
  <c r="E86" i="10"/>
  <c r="E71" i="10"/>
  <c r="D13" i="32"/>
  <c r="D22" i="27"/>
  <c r="D46" i="32"/>
  <c r="F46" i="32"/>
  <c r="D82" i="27"/>
  <c r="F82" i="27"/>
  <c r="H25" i="30"/>
  <c r="H24" i="31"/>
  <c r="H22" i="31"/>
  <c r="H22" i="30"/>
  <c r="H21" i="31"/>
  <c r="H21" i="30"/>
  <c r="H25" i="31"/>
  <c r="H24" i="30"/>
  <c r="H16" i="31"/>
  <c r="H17" i="31"/>
  <c r="H18" i="31"/>
  <c r="H19" i="31"/>
  <c r="H20" i="31"/>
  <c r="H23" i="31"/>
  <c r="H27" i="31"/>
  <c r="H29" i="31"/>
  <c r="H31" i="31"/>
  <c r="H16" i="30"/>
  <c r="H17" i="30"/>
  <c r="H18" i="30"/>
  <c r="H19" i="30"/>
  <c r="H20" i="30"/>
  <c r="H23" i="30"/>
  <c r="H27" i="30"/>
  <c r="H29" i="30"/>
  <c r="H31" i="30"/>
  <c r="F24" i="25"/>
  <c r="G24" i="25" s="1"/>
  <c r="H24" i="25" s="1"/>
  <c r="E13" i="10"/>
  <c r="H16" i="25"/>
  <c r="E39" i="10" s="1"/>
  <c r="F39" i="10" s="1"/>
  <c r="H17" i="25"/>
  <c r="E44" i="10" s="1"/>
  <c r="F44" i="10" s="1"/>
  <c r="H18" i="25"/>
  <c r="E49" i="10" s="1"/>
  <c r="F49" i="10" s="1"/>
  <c r="H19" i="25"/>
  <c r="E54" i="10" s="1"/>
  <c r="F54" i="10" s="1"/>
  <c r="H20" i="25"/>
  <c r="H31" i="25"/>
  <c r="H25" i="25"/>
  <c r="H23" i="25"/>
  <c r="H22" i="25"/>
  <c r="H21" i="25"/>
  <c r="H29" i="25"/>
  <c r="F19" i="15"/>
  <c r="F8" i="15"/>
  <c r="F9" i="15"/>
  <c r="C2" i="20"/>
  <c r="E2" i="20"/>
  <c r="F38" i="10"/>
  <c r="F58" i="10"/>
  <c r="F53" i="10"/>
  <c r="F48" i="10"/>
  <c r="F43" i="10"/>
  <c r="E28" i="10"/>
  <c r="G14" i="28" l="1"/>
  <c r="G15" i="28"/>
  <c r="G16" i="28"/>
  <c r="H5" i="25"/>
  <c r="H122" i="27"/>
  <c r="G122" i="27" s="1"/>
  <c r="C22" i="27"/>
  <c r="G6" i="27"/>
  <c r="G7" i="27"/>
  <c r="G8" i="27"/>
  <c r="G9" i="27"/>
  <c r="G12" i="27"/>
  <c r="G14" i="27"/>
  <c r="G15" i="27"/>
  <c r="G16" i="27"/>
  <c r="G17" i="27"/>
  <c r="G19" i="27"/>
  <c r="H2" i="32"/>
  <c r="C68" i="32"/>
  <c r="G68" i="32" s="1"/>
  <c r="C46" i="32"/>
  <c r="E82" i="27" s="1"/>
  <c r="C35" i="32"/>
  <c r="H7" i="25"/>
  <c r="H4" i="31"/>
  <c r="H4" i="30"/>
  <c r="H4" i="25"/>
  <c r="H3" i="31"/>
  <c r="H3" i="30"/>
  <c r="H3" i="25"/>
  <c r="E9" i="10" s="1"/>
  <c r="F9" i="10" s="1"/>
  <c r="H5" i="31"/>
  <c r="H13" i="25"/>
  <c r="H12" i="25"/>
  <c r="H11" i="25"/>
  <c r="H10" i="25"/>
  <c r="H8" i="25"/>
  <c r="H7" i="31"/>
  <c r="H6" i="31"/>
  <c r="H9" i="25"/>
  <c r="H9" i="31"/>
  <c r="H10" i="31"/>
  <c r="H11" i="31"/>
  <c r="H12" i="31"/>
  <c r="H13" i="31"/>
  <c r="H9" i="30"/>
  <c r="H10" i="30"/>
  <c r="H11" i="30"/>
  <c r="H12" i="30"/>
  <c r="H13" i="30"/>
  <c r="H7" i="30"/>
  <c r="H5" i="30"/>
  <c r="H8" i="31"/>
  <c r="H8" i="30"/>
  <c r="H6" i="30"/>
  <c r="H6" i="25"/>
  <c r="E19" i="10" s="1"/>
  <c r="F19" i="10" s="1"/>
  <c r="G11" i="27"/>
  <c r="H2" i="27"/>
  <c r="H27" i="25"/>
  <c r="F22" i="27"/>
  <c r="F13" i="10"/>
  <c r="F28" i="10"/>
  <c r="G4" i="27"/>
  <c r="C2" i="27"/>
  <c r="G2" i="27" s="1"/>
  <c r="C42" i="27"/>
  <c r="C62" i="27"/>
  <c r="E62" i="27" s="1"/>
  <c r="E14" i="10"/>
  <c r="F14" i="10" s="1"/>
  <c r="E29" i="10"/>
  <c r="F29" i="10" s="1"/>
  <c r="E64" i="10"/>
  <c r="F64" i="10" s="1"/>
  <c r="E59" i="10"/>
  <c r="F59" i="10" s="1"/>
  <c r="E65" i="10"/>
  <c r="F65" i="10" s="1"/>
  <c r="E24" i="10"/>
  <c r="F24" i="10" s="1"/>
  <c r="E66" i="10" l="1"/>
  <c r="E122" i="27"/>
  <c r="C13" i="32"/>
  <c r="E22" i="27" s="1"/>
  <c r="C24" i="32"/>
  <c r="E42" i="27" s="1"/>
  <c r="F66" i="10"/>
  <c r="G2" i="32" l="1"/>
  <c r="E2" i="27"/>
  <c r="O26" i="12"/>
  <c r="O28" i="12"/>
  <c r="H28" i="25" l="1"/>
  <c r="O2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tc={18E64D76-A5F3-4F7A-AF84-865297FEE297}</author>
  </authors>
  <commentList>
    <comment ref="E2" authorId="0" shapeId="0" xr:uid="{18E64D76-A5F3-4F7A-AF84-865297FEE297}">
      <text>
        <t>[Threaded comment]
Your version of Excel allows you to read this threaded comment; however, any edits to it will get removed if the file is opened in a newer version of Excel. Learn more: https://go.microsoft.com/fwlink/?linkid=870924
Comment:
    Milestones spread over four years because all projects from first five selection rounds should have been endorsed by early 2028</t>
      </text>
    </comment>
  </commentList>
</comments>
</file>

<file path=xl/sharedStrings.xml><?xml version="1.0" encoding="utf-8"?>
<sst xmlns="http://schemas.openxmlformats.org/spreadsheetml/2006/main" count="1114" uniqueCount="351">
  <si>
    <r>
      <rPr>
        <b/>
        <sz val="10"/>
        <color rgb="FF000000"/>
        <rFont val="Arial"/>
        <family val="2"/>
      </rPr>
      <t>Purpose</t>
    </r>
    <r>
      <rPr>
        <sz val="10"/>
        <color rgb="FF000000"/>
        <rFont val="Arial"/>
        <family val="2"/>
      </rPr>
      <t>: This spreadsheet calculates milestones and results for the Global Biodiversity Framework Fund Annual Review, International Climate Finance (ICF) Indicator, and Defra Indicator (DI) returns</t>
    </r>
  </si>
  <si>
    <r>
      <rPr>
        <b/>
        <sz val="10"/>
        <color rgb="FF000000"/>
        <rFont val="Arial"/>
      </rPr>
      <t>Methodology:</t>
    </r>
    <r>
      <rPr>
        <sz val="10"/>
        <color rgb="FF000000"/>
        <rFont val="Arial"/>
      </rPr>
      <t xml:space="preserve"> Details of the methodology is given in each tab, but a rough outline is given below.
Milestones are based on the expected results of the 2024 Business Case, in proportion to the amount of funding spent in relation to the £100m.
Results of the fund are based on projected results from GBFF funded projects. These are attributed to the UK according the proportion of the total pot contributed by the UK. Further adjustments are made to account for the historic success rate of GEF projects, ICF eligibility, and double counting (where applicable)
</t>
    </r>
    <r>
      <rPr>
        <b/>
        <sz val="10"/>
        <color rgb="FF000000"/>
        <rFont val="Arial"/>
      </rPr>
      <t xml:space="preserve">2026 update: </t>
    </r>
    <r>
      <rPr>
        <sz val="10"/>
        <color rgb="FF000000"/>
        <rFont val="Arial"/>
      </rPr>
      <t>The methodology used for calculating milestones and apportioning results from UK funding have been updated for AR26 and beyond.  
When apportioning results for the GBFF, 2024-2028 is now being considered as a complete four-year programme in which the UK has contributed $70m (£55m). This is equivalent to 18.3% of a total GBFF pot of $386m made available for projects and administrative costs. To limit the impact of annual differences in spending commitments, this overall average figure will be used to apportion results to UK spending – meaning the UK government will claim 18.3% of aggregate results of GBFF projects approved each AR period (May-May). 
When setting milestones, it is now assumed that results will be delivered linearly over a three year period.</t>
    </r>
  </si>
  <si>
    <r>
      <rPr>
        <b/>
        <sz val="10"/>
        <color rgb="FF000000"/>
        <rFont val="Arial"/>
      </rPr>
      <t xml:space="preserve">Structure: </t>
    </r>
    <r>
      <rPr>
        <sz val="10"/>
        <color rgb="FF000000"/>
        <rFont val="Arial"/>
      </rPr>
      <t xml:space="preserve">The Spreadsheet is Structured as follows: </t>
    </r>
    <r>
      <rPr>
        <sz val="10"/>
        <color rgb="FF92D050"/>
        <rFont val="Arial"/>
      </rPr>
      <t xml:space="preserve">Green </t>
    </r>
    <r>
      <rPr>
        <sz val="10"/>
        <color rgb="FF000000"/>
        <rFont val="Arial"/>
      </rPr>
      <t xml:space="preserve">tabs are inputs, </t>
    </r>
    <r>
      <rPr>
        <sz val="10"/>
        <color rgb="FFFFFF00"/>
        <rFont val="Arial"/>
      </rPr>
      <t xml:space="preserve">Yellow </t>
    </r>
    <r>
      <rPr>
        <sz val="10"/>
        <color rgb="FF000000"/>
        <rFont val="Arial"/>
      </rPr>
      <t>tabs aggregate project level results,</t>
    </r>
    <r>
      <rPr>
        <sz val="10"/>
        <color rgb="FFFFFF00"/>
        <rFont val="Arial"/>
      </rPr>
      <t xml:space="preserve"> </t>
    </r>
    <r>
      <rPr>
        <sz val="10"/>
        <color rgb="FF000000"/>
        <rFont val="Arial"/>
      </rPr>
      <t xml:space="preserve"> </t>
    </r>
    <r>
      <rPr>
        <sz val="10"/>
        <color rgb="FFFFC000"/>
        <rFont val="Arial"/>
      </rPr>
      <t xml:space="preserve">Orange </t>
    </r>
    <r>
      <rPr>
        <sz val="10"/>
        <color rgb="FF000000"/>
        <rFont val="Arial"/>
      </rPr>
      <t xml:space="preserve">tabs are Annual Review calculations, and </t>
    </r>
    <r>
      <rPr>
        <sz val="10"/>
        <color rgb="FF00B0F0"/>
        <rFont val="Arial"/>
      </rPr>
      <t xml:space="preserve">Blue </t>
    </r>
    <r>
      <rPr>
        <sz val="10"/>
        <color rgb="FF000000"/>
        <rFont val="Arial"/>
      </rPr>
      <t>tabs are ICF calculations</t>
    </r>
  </si>
  <si>
    <t>Table 1: Inputs</t>
  </si>
  <si>
    <t>Input</t>
  </si>
  <si>
    <t>Value</t>
  </si>
  <si>
    <t>Explaination</t>
  </si>
  <si>
    <t>Source</t>
  </si>
  <si>
    <t>GEF Success factor</t>
  </si>
  <si>
    <t>As this Annual Review relies on anticipated, rather than actual, results, a success factor of 80% is applied. Value based on the historic GEF performance</t>
  </si>
  <si>
    <t>GEF Secretariat</t>
  </si>
  <si>
    <t>Double Counting Adjustment</t>
  </si>
  <si>
    <t>A discount is made to ICF KPI 17 relating to land under improved management to account for neglible double counting.</t>
  </si>
  <si>
    <t xml:space="preserve">Financing adjustment for non alignment with ICF definitions </t>
  </si>
  <si>
    <t>GEF noted that not all of their 'co-finance' results would fit the ICF definition. The results have been conservatively discounted by 50% in result.</t>
  </si>
  <si>
    <t>Exchange rates</t>
  </si>
  <si>
    <t>Annual averages used because precise date of exchanges not always known.</t>
  </si>
  <si>
    <t>USD-GBP conversion</t>
  </si>
  <si>
    <t>May 2024 - May 2025</t>
  </si>
  <si>
    <t xml:space="preserve">Average USD-GBP exchange rate from 06/05/24 - 05/05/25. </t>
  </si>
  <si>
    <t>https://www.bankofengland.co.uk/boeapps/database/index.asp?Travel=NIxIRx&amp;levels=2&amp;G0Xtop.x=97&amp;G0Xtop.y=21&amp;XNotes=Y&amp;C=C8P&amp;Nodes=X3790X3791X3873X33940X3836&amp;SectionRequired=I&amp;HideNums=-1&amp;ExtraInfo=true#BM</t>
  </si>
  <si>
    <t>May 2025 - May 2026</t>
  </si>
  <si>
    <t>Average USD-GBP exchange rate from 06/05/25 - 05/05/26.</t>
  </si>
  <si>
    <t>May 2026 - May 2027</t>
  </si>
  <si>
    <t>Average USD-GBP exchange rate from 06/05/26 - 05/05/27.</t>
  </si>
  <si>
    <t>GBP-USD conversion</t>
  </si>
  <si>
    <t>Average GBP-USD exchange rate from 06/05/24 - 05/05/25.</t>
  </si>
  <si>
    <t>Bank of England | Database</t>
  </si>
  <si>
    <t>Average GBP-USD exchange rate from 06/05/25 - 05/05/26.</t>
  </si>
  <si>
    <t>Average GBP-USD exchange rate from 06/05/26 - 05/05/27.</t>
  </si>
  <si>
    <t>Table 2: Actual UK contributions to GBFF</t>
  </si>
  <si>
    <t>23/24</t>
  </si>
  <si>
    <t>24/25</t>
  </si>
  <si>
    <t>25/26</t>
  </si>
  <si>
    <t>26/27</t>
  </si>
  <si>
    <t>27/28</t>
  </si>
  <si>
    <t>Milestone proportion</t>
  </si>
  <si>
    <r>
      <rPr>
        <b/>
        <sz val="10"/>
        <color rgb="FF000000"/>
        <rFont val="Arial"/>
      </rPr>
      <t>Note:</t>
    </r>
    <r>
      <rPr>
        <sz val="10"/>
        <color rgb="FF000000"/>
        <rFont val="Arial"/>
      </rPr>
      <t xml:space="preserve"> Final targets are set based on estimates in the 2024 Business Case. The Business Case results were based on a £100m spend and the UK ultimately contributed £55m to the GBFF, so the final milestone is 55% of the results estimated in the Business Case.
Five "Selection Rounds" were run between Feb 2024 to Dec 2025 to allocate GBFF funding to projects, with the final projects being selected in March 2026.
As per the GBFF project cycle, where agencies are expected to submit fully prepared projects for CEO endorsement within 9 months of selection, it is expected that all projects from this phase of the GBFF will be fully approved by early 2027.
</t>
    </r>
    <r>
      <rPr>
        <b/>
        <sz val="10"/>
        <color rgb="FF000000"/>
        <rFont val="Arial"/>
      </rPr>
      <t xml:space="preserve">2026 update: </t>
    </r>
    <r>
      <rPr>
        <sz val="10"/>
        <color rgb="FF000000"/>
        <rFont val="Arial"/>
      </rPr>
      <t>Milestones are calculated by assuming a linear delivery of 55% of the total estimated in the BC over three AR periods: 24/25, 25/26, and 27/28.</t>
    </r>
  </si>
  <si>
    <t>Table 3: UK Contributions to the GBFF in Proportion to Total Funding</t>
  </si>
  <si>
    <t>Total UK contribution, GBP</t>
  </si>
  <si>
    <t>Total UK contribution, USD</t>
  </si>
  <si>
    <t>Total GBFF pot, USD</t>
  </si>
  <si>
    <t>UK Proportion of total pot</t>
  </si>
  <si>
    <r>
      <rPr>
        <b/>
        <sz val="10"/>
        <color rgb="FF000000"/>
        <rFont val="Arial"/>
      </rPr>
      <t xml:space="preserve">Note: </t>
    </r>
    <r>
      <rPr>
        <sz val="10"/>
        <color rgb="FF000000"/>
        <rFont val="Arial"/>
      </rPr>
      <t xml:space="preserve">This tab estimates UK contributions to the GBFF as a proportion of total GBFF funding, used to attribute GBFF results to the UK government.
Over the entire programme, the UK contributed $73m/$386m of the total GBFF pot made available for projects and administrative costs, so claim 18.9% of aggregate results for projects approved each AR period.   </t>
    </r>
  </si>
  <si>
    <t>Table 4: Project level results for approved GBFF projects</t>
  </si>
  <si>
    <t>Project</t>
  </si>
  <si>
    <t>Country(ies)</t>
  </si>
  <si>
    <t>Annual Review</t>
  </si>
  <si>
    <t>SIDS/LDC</t>
  </si>
  <si>
    <t>Approval year</t>
  </si>
  <si>
    <t>Grant Cost (USD)</t>
  </si>
  <si>
    <t>Agency Fee (USD)</t>
  </si>
  <si>
    <t>PPG Amount (USD)</t>
  </si>
  <si>
    <t>PPG Agency Fee</t>
  </si>
  <si>
    <t>Total GEF Cost</t>
  </si>
  <si>
    <t>Cofinancing</t>
  </si>
  <si>
    <t>Of which private</t>
  </si>
  <si>
    <t>Of which public</t>
  </si>
  <si>
    <t>IPLC Financing</t>
  </si>
  <si>
    <t>% IPLC</t>
  </si>
  <si>
    <t>SIDS/LDC Finance</t>
  </si>
  <si>
    <t>1. Terrestrial protected areas created or under improved management (Ha)</t>
  </si>
  <si>
    <t>1.1 Terrestiral Protected Areas Newly created (Ha)</t>
  </si>
  <si>
    <t>1.2 Terrestrial Protected Areas Under Improved Management (Ha)</t>
  </si>
  <si>
    <t>2. Marine protected areas created or under improved management (Ha)</t>
  </si>
  <si>
    <t>2.1 Marine Protected Areas Newly created (Ha)</t>
  </si>
  <si>
    <t>2.2 Marine Protected Areas Under improved management effectiveness</t>
  </si>
  <si>
    <t>3. Area of land and ecosystems under restoration</t>
  </si>
  <si>
    <t>3.1 Area of degraded agricultural lands under restoration</t>
  </si>
  <si>
    <t>3.2 Area of forest and forest land under restoration</t>
  </si>
  <si>
    <t>3.3 Area of natural grass and woodland under restoration</t>
  </si>
  <si>
    <t>3.4 Area of wetlands (including estuaries, mangroves) under restoration</t>
  </si>
  <si>
    <t>4. Area of landscape under improved pratice, excluding protected areas (Ha)</t>
  </si>
  <si>
    <t>4.1 Area of landscapes under improved management to benefit biodiversity (Ha)</t>
  </si>
  <si>
    <t>4.2 Area of landscapes under third-party certification incorporating biodiversity considerations (Ha)</t>
  </si>
  <si>
    <t>4.3 Area of landscapes under sustainable land management in production systems (Ha)</t>
  </si>
  <si>
    <t>4.4 Area of High Conservation Value or other forest loss avoided (Ha)</t>
  </si>
  <si>
    <t>5. Area of marine habitat under improved practices (ha)</t>
  </si>
  <si>
    <t>6. Greenhouse Gas Emissions Mitigated (tCO2e)</t>
  </si>
  <si>
    <t>6.a Direct Greenhouse Gas Emissions Mitigated (tCO2e)2</t>
  </si>
  <si>
    <t>6.b Indirect Greenhouse Gas Emissions Mitigated (tCO2e)</t>
  </si>
  <si>
    <t>6.1.a Direct Carbon Sequestered or Emissions Avoided in the AFOLU</t>
  </si>
  <si>
    <t>6.1.b Indirect Carbon Sequestered or Emissions Avoided in the AFOLU</t>
  </si>
  <si>
    <t>6.2 Emissions Avoided Outside AFOLU</t>
  </si>
  <si>
    <t>6.3 Energy Saved</t>
  </si>
  <si>
    <t>6.4 Increase in Installed Renewable Energy Capacity per Technology</t>
  </si>
  <si>
    <t>11. People benefiting from GEF investment</t>
  </si>
  <si>
    <t>11.1 of whom women</t>
  </si>
  <si>
    <t>Is defined as Principal or Signifcant for Climate Mitigation and/or Adaptation</t>
  </si>
  <si>
    <t>Is Executing Agency an International Financial Institution (IFI)</t>
  </si>
  <si>
    <t>12.Total land under sustainable management</t>
  </si>
  <si>
    <t>Mex30x30</t>
  </si>
  <si>
    <t>Mexico</t>
  </si>
  <si>
    <t>Yes</t>
  </si>
  <si>
    <t>No</t>
  </si>
  <si>
    <t>Caatinga Protected areas Program</t>
  </si>
  <si>
    <t>Brazil 1</t>
  </si>
  <si>
    <t>Biodiversity Conservation in Indigenous Lands</t>
  </si>
  <si>
    <t>Brazil 2</t>
  </si>
  <si>
    <t>Addressing Barrers and Leveraging Finance to Achieve T3 in Gabon</t>
  </si>
  <si>
    <t>Gabon</t>
  </si>
  <si>
    <t>Community-based conservation in context of climate change in DRC</t>
  </si>
  <si>
    <t>Congo DR</t>
  </si>
  <si>
    <t>Delivering Target 3 in Peru</t>
  </si>
  <si>
    <t>Peru</t>
  </si>
  <si>
    <t>Strengthened transboundrary conservation in Sangha Tri-National</t>
  </si>
  <si>
    <t>Cameroon, CAR, Congo</t>
  </si>
  <si>
    <t>Strengthening the protected area system in Angola through innovation and capacity development</t>
  </si>
  <si>
    <t>Angola</t>
  </si>
  <si>
    <t>-</t>
  </si>
  <si>
    <t>Support for the development of a national policy, institutional and monitoring framework to effectively implement the Nagoya Protocol in Belize</t>
  </si>
  <si>
    <t>Belize</t>
  </si>
  <si>
    <t>Advancing ABS implementation in Cambodia</t>
  </si>
  <si>
    <t>Cambodia</t>
  </si>
  <si>
    <t>Biomanglar: Empowering Collective Territories through Conservation, Sustainable Use, and Restoration Initiatives of Mangroves to Contribute to Colombia’s National Biodiversity Strategy</t>
  </si>
  <si>
    <t>Colombia</t>
  </si>
  <si>
    <t>Blue Corridor: connectivity for the conservation, restoration and sustainable use of marine ecosystems of global importance in the Southern Caribbean of Costa Rica</t>
  </si>
  <si>
    <t>Costa Rica</t>
  </si>
  <si>
    <t>EcoHarmony RD: Advancing OECMs for Biodiversity Integration in Dominican Landscapes</t>
  </si>
  <si>
    <t>Dominican Republic</t>
  </si>
  <si>
    <t>Enhancing Participatory Conservation and Restoration of Biodiversity and Ecosystem Services in Ethiopia</t>
  </si>
  <si>
    <t>Ethiopia</t>
  </si>
  <si>
    <t>Enhancing co-benefits of conservation area management through an inclusive wildlife-based ecotourism strategy (WILDLIFE ECOTOURISM)</t>
  </si>
  <si>
    <t>Indonesia</t>
  </si>
  <si>
    <t>Restoring Forest Ecosystem Functions Through Community-Based Management in the Royal Botanic Garden of Jordan</t>
  </si>
  <si>
    <t>Jordan</t>
  </si>
  <si>
    <t>Strengthening Biodiversity in Agriculture, Restoring Ecosystem Resilience, and Empowering IPLCs in Lao PDR</t>
  </si>
  <si>
    <t>Lao PDR</t>
  </si>
  <si>
    <t>Sustainable Financing and Inclusive Management to Perpetuate Madagascar’s Locally Managed Marine Areas</t>
  </si>
  <si>
    <t>Madagascar</t>
  </si>
  <si>
    <t>Effective protection of Mozambique’s Miombo woodlands and marine hotspot conservation areas enhancing global coping mechanisms to climate change</t>
  </si>
  <si>
    <t>Mozambique</t>
  </si>
  <si>
    <t xml:space="preserve">Conservation of Endangered cold water fish species for sustainable livelihoods of fishing Communities in Middle Trishuli River Basin, Central Nepal
</t>
  </si>
  <si>
    <t>Nepal</t>
  </si>
  <si>
    <t>Scaling up biodiversity-positive and culturally inclusive agrifood and agritourism systems in Palau</t>
  </si>
  <si>
    <t>Palau</t>
  </si>
  <si>
    <t>Advancing integrated participatory spatial planning to enhance Samoa’s globally significant biodiversity at a national scale</t>
  </si>
  <si>
    <t>Samoa</t>
  </si>
  <si>
    <t>Philippines Biodiversity Financing Program</t>
  </si>
  <si>
    <t>Philippines 1</t>
  </si>
  <si>
    <t>Strengthening Globally Significant Biodiversity Corridors in the Philippines through Local Community Empowerment</t>
  </si>
  <si>
    <t>Philippines 2</t>
  </si>
  <si>
    <t>Support for the development of protected areas for the conservation of biodiversity</t>
  </si>
  <si>
    <t>Senegal</t>
  </si>
  <si>
    <t xml:space="preserve">Reimagining National Parks for People and Nature – Leveraging Durable Financing Mechanisms for Mega Living Landscapes 
(MLL) to achieve Target 3 in South Africa
</t>
  </si>
  <si>
    <t>South Africa</t>
  </si>
  <si>
    <r>
      <rPr>
        <b/>
        <sz val="10"/>
        <color rgb="FF000000"/>
        <rFont val="Arial"/>
      </rPr>
      <t xml:space="preserve">Table 5: </t>
    </r>
    <r>
      <rPr>
        <sz val="10"/>
        <color rgb="FF000000"/>
        <rFont val="Arial"/>
      </rPr>
      <t>Milestone estimates for GBF Fund</t>
    </r>
  </si>
  <si>
    <t>Annual Review Year</t>
  </si>
  <si>
    <t>Outcome Indicators</t>
  </si>
  <si>
    <t>Estimated in BC</t>
  </si>
  <si>
    <t>Success factor (80%)</t>
  </si>
  <si>
    <t>2025 Milestone</t>
  </si>
  <si>
    <t>2026 
Milestone</t>
  </si>
  <si>
    <t>2027
Milestone</t>
  </si>
  <si>
    <t>2028 Milestone</t>
  </si>
  <si>
    <t>1. Number of people supported to cope with the effects of climate change as a result of ICF investment</t>
  </si>
  <si>
    <t>2. Greenhouse gas emissions reduced or avoided (tCO2e) as a result of ICF investment</t>
  </si>
  <si>
    <t xml:space="preserve">3. Volume of public finance mobilised for climate change purposes as a result of ICF investment (£m) </t>
  </si>
  <si>
    <t>4. Volume of private finance mobilised for climate change purposes as a result of ICF investment (£m)</t>
  </si>
  <si>
    <t>5. Hectares of land (m) that have received sustainable land management practices as a result of ICF investment</t>
  </si>
  <si>
    <t>Output Indicators</t>
  </si>
  <si>
    <t xml:space="preserve">1. Terrestrial protected areas created or under improved management for conservation and sustainable use (ha) </t>
  </si>
  <si>
    <t>2. Marine protected areas created or under improved management for conservation and sustainable use (ha)</t>
  </si>
  <si>
    <t xml:space="preserve">3. Area of land restored (ha) </t>
  </si>
  <si>
    <t>4. Area of landscapes under improved practices (ha; excl. protected areas)</t>
  </si>
  <si>
    <t>5. Area of marine habitat under improved practices (ha; excl. protected areas)</t>
  </si>
  <si>
    <t>6. Number of direct beneficiaries disaggregated by gender as co-benefit of GEF investment</t>
  </si>
  <si>
    <t>6.a) Number of direct beneficiaries disaggregated by gender as co-benefit of GEF investment (women)</t>
  </si>
  <si>
    <t>7. Co-financing ratio of GBF Fund projects</t>
  </si>
  <si>
    <t>8. 36 percent + 3 percent of funding allocated to small island developing States (SIDS)/least 
developed countries (LDCs</t>
  </si>
  <si>
    <t>11. 25 percent to be programmed through international financing institutions (IFIs)</t>
  </si>
  <si>
    <t>12. Share of 20 percent by 2030 to support actions by Indigenous Peoples and Local Communities (IPLCs)</t>
  </si>
  <si>
    <t>Note: This table calculates anticipated results of the GBF Fund Outcome and Output Indicators, based on the Business case. Column B presents the expected results from £100m spending is taken from p.29 of the BC. Column C applies an 80% success factor, due to the fact that these numbers are based on expected results from the GEF-7. Columns E-G estimate milestones for 2025-2027 based on proportions calculated in the "Milestone Proportion" tab.</t>
  </si>
  <si>
    <t>Sources:</t>
  </si>
  <si>
    <t>https://iatipublisher-prod.s3.amazonaws.com/document-link/414/GBF-Fund-Full-Business-Case-%28Redacted%29-202408210208371745544305.pdf</t>
  </si>
  <si>
    <t>EN_GEF.C.64.Inf_.04_Scorecard_June_2023.pdf</t>
  </si>
  <si>
    <r>
      <rPr>
        <b/>
        <sz val="10"/>
        <color rgb="FF000000"/>
        <rFont val="Arial"/>
      </rPr>
      <t xml:space="preserve">Table 6: </t>
    </r>
    <r>
      <rPr>
        <sz val="10"/>
        <color rgb="FF000000"/>
        <rFont val="Arial"/>
      </rPr>
      <t>Aggregate AR Results For GBFF Projects</t>
    </r>
  </si>
  <si>
    <t>Approval Period</t>
  </si>
  <si>
    <t>Annual Review year</t>
  </si>
  <si>
    <t>GBFF Indicators</t>
  </si>
  <si>
    <t>2025</t>
  </si>
  <si>
    <t>2026</t>
  </si>
  <si>
    <t>2027</t>
  </si>
  <si>
    <t>2028</t>
  </si>
  <si>
    <t>Total</t>
  </si>
  <si>
    <t>1. Terrestrial protected areas created or under improved management (ha)</t>
  </si>
  <si>
    <t xml:space="preserve">2. Marine protected areas created or under improved management (ha) </t>
  </si>
  <si>
    <t>3. Area of land and ecosystems under restoration (ha)</t>
  </si>
  <si>
    <t>4. Area of landscapes under improved practices (ha)</t>
  </si>
  <si>
    <t>6. Greenhouse Gas emissions mitigated (tCO2e)</t>
  </si>
  <si>
    <t>7. People benefitting from the conservation, sustainable use or restoration of biodiversity</t>
  </si>
  <si>
    <t>7.a)of whom women</t>
  </si>
  <si>
    <t>8. Volume of Co-financing ($)</t>
  </si>
  <si>
    <t>8.a) Public cofinance</t>
  </si>
  <si>
    <t>8.b) Private cofinance</t>
  </si>
  <si>
    <t>9. SIDS Funding ($)</t>
  </si>
  <si>
    <t>10. IFI Funding ($)</t>
  </si>
  <si>
    <t>11. IPLC Funding ($)</t>
  </si>
  <si>
    <t>Summary statistics</t>
  </si>
  <si>
    <t>Total GEF spend</t>
  </si>
  <si>
    <t>Number of projects</t>
  </si>
  <si>
    <t>Number of countries supported</t>
  </si>
  <si>
    <t>Average project grant</t>
  </si>
  <si>
    <t>Note: This tab aggregates the results in the "Project Data" tab into annual figures for AR reporting. Projects are allocating into an AR year based on their approval dates, with the AR period running June-May</t>
  </si>
  <si>
    <t xml:space="preserve"> </t>
  </si>
  <si>
    <r>
      <rPr>
        <b/>
        <sz val="10"/>
        <color rgb="FF000000"/>
        <rFont val="Arial"/>
      </rPr>
      <t xml:space="preserve">Table 7: </t>
    </r>
    <r>
      <rPr>
        <sz val="10"/>
        <color rgb="FF000000"/>
        <rFont val="Arial"/>
      </rPr>
      <t>Aggregate ICF Results For GBFF Projects</t>
    </r>
  </si>
  <si>
    <t>ICF Reporting year</t>
  </si>
  <si>
    <t>ICF Indicators</t>
  </si>
  <si>
    <t>1.a) of whom women</t>
  </si>
  <si>
    <t>2. Greenhouse gas emissions reduced or avoided as a result of ICF investment (tCO2e)</t>
  </si>
  <si>
    <t>5. Hectares of land that have received sustainable land management practices as a result of ICF investment (ha)</t>
  </si>
  <si>
    <t>5.1. Terrestrial protected areas created or under improved management (ha)</t>
  </si>
  <si>
    <t xml:space="preserve">5.2. Marine protected areas created or under improved management (ha) </t>
  </si>
  <si>
    <t>5.3. Area of land and ecosystems under restoration</t>
  </si>
  <si>
    <t>5.4. Area of landscape under improved pratice, excluding protected areas (Ha)</t>
  </si>
  <si>
    <t>5.5. Area of marine habitat under improved practices (ha)</t>
  </si>
  <si>
    <t>Spending</t>
  </si>
  <si>
    <r>
      <rPr>
        <b/>
        <sz val="10"/>
        <color rgb="FF000000"/>
        <rFont val="Arial"/>
      </rPr>
      <t xml:space="preserve">Note: </t>
    </r>
    <r>
      <rPr>
        <sz val="10"/>
        <color rgb="FF000000"/>
        <rFont val="Arial"/>
      </rPr>
      <t>This tab aggregates the results in the "Project Data" tab into annual figures for AR reporting. Each annual review period runs May-May, so projects are allocating into an AR year based on their approval dates.
Contrasting with the previous tab, only projects that Principal or Signifcant Rio Markers for Climate Mitigation and/or Adaptation are counted for output indicators, with the exception of greenhouse gas emission mitigations and area of land under sustainable management practices - which are counted regardless of Rio markers.</t>
    </r>
  </si>
  <si>
    <r>
      <rPr>
        <b/>
        <sz val="10"/>
        <color rgb="FF000000"/>
        <rFont val="Arial"/>
      </rPr>
      <t xml:space="preserve">Table 8: </t>
    </r>
    <r>
      <rPr>
        <sz val="10"/>
        <color rgb="FF000000"/>
        <rFont val="Arial"/>
      </rPr>
      <t>Results calculation for 2025 Annual Review</t>
    </r>
  </si>
  <si>
    <t>Aggregate Result</t>
  </si>
  <si>
    <t>Double-counting adjustment (95%)</t>
  </si>
  <si>
    <t>Financing adjustment for non-alignment with ICF definitions (50%)</t>
  </si>
  <si>
    <t>USD-GBP Conversion</t>
  </si>
  <si>
    <t>UK Attribution (18.9%)</t>
  </si>
  <si>
    <t>FINAL AR25 RESULT</t>
  </si>
  <si>
    <t xml:space="preserve">3. Volume of public finance mobilised for climate change purposes as a result of ICF investment ($m) </t>
  </si>
  <si>
    <t>4. Volume of private finance mobilised for climate change purposes as a result of ICF investment ($m)</t>
  </si>
  <si>
    <t>6. People benefitting from the conservation, sustainable use or restoration of biodiversity</t>
  </si>
  <si>
    <t>6.a)of whom women</t>
  </si>
  <si>
    <t>7. Volume of Co-financing ($)</t>
  </si>
  <si>
    <t>7.a) Public cofinance</t>
  </si>
  <si>
    <t>7.b) Private cofinance</t>
  </si>
  <si>
    <t>7.c) All co-finance, leveraging ratio</t>
  </si>
  <si>
    <t>8. SIDS Funding ($)</t>
  </si>
  <si>
    <t>8.a) SIDS Funding, % of total</t>
  </si>
  <si>
    <t>9. IFI Funding ($)</t>
  </si>
  <si>
    <t>9.a) IFI Funding, % of total</t>
  </si>
  <si>
    <t>10. IPLC Funding ($)</t>
  </si>
  <si>
    <t>10.a) IPLC Funding, % of total</t>
  </si>
  <si>
    <r>
      <rPr>
        <b/>
        <sz val="10"/>
        <color rgb="FF000000"/>
        <rFont val="Arial"/>
      </rPr>
      <t xml:space="preserve">Methodology: </t>
    </r>
    <r>
      <rPr>
        <sz val="10"/>
        <color rgb="FF000000"/>
        <rFont val="Arial"/>
      </rPr>
      <t xml:space="preserve">Outcome and output indicator figures for 2025 are taken from the "aggregate results" tabs. For the majority of indicators, an 80% success factor is applied to aggregate results based on historic GEF project performance relative to anticipated results.
A 5% reduction is made to ICF area-based indicators to account for the minimal incidence of double-counting.
For finance indicators, the success factor is not applied because these outcomes are likely to be contract-based and can be assumed to deliver the projected levels. An additional 50% adjustment is made to account for the fact that not all co-finance results will fit the ICF definition. Prices are then converted from USD to GBP. 
The UK is then attributed 18.9% of these results due to the fact that the UK contributed $73m of the $386m total GBFF pot over the entire programme.
</t>
    </r>
    <r>
      <rPr>
        <b/>
        <sz val="10"/>
        <color rgb="FF000000"/>
        <rFont val="Arial"/>
      </rPr>
      <t xml:space="preserve">
Note: </t>
    </r>
    <r>
      <rPr>
        <sz val="10"/>
        <color rgb="FF000000"/>
        <rFont val="Arial"/>
      </rPr>
      <t>Outcome indicator figures differ from aggregate figures (and output indicators) due to ICF eligibility. Only projects with Principal or Signifcant Rio Markers for Climate Mitigation and/or Adaptation are counted for output indicators, with the exception of greenhouse gas emission mitigations and area of land under improved practices - which are counted regardless of Rio markers.</t>
    </r>
  </si>
  <si>
    <r>
      <rPr>
        <b/>
        <sz val="10"/>
        <color rgb="FF000000"/>
        <rFont val="Arial"/>
      </rPr>
      <t xml:space="preserve">Table 9: </t>
    </r>
    <r>
      <rPr>
        <sz val="10"/>
        <color rgb="FF000000"/>
        <rFont val="Arial"/>
      </rPr>
      <t>Results calculation for 2026 Annual Review</t>
    </r>
  </si>
  <si>
    <t>FINAL AR26 RESULT</t>
  </si>
  <si>
    <r>
      <rPr>
        <b/>
        <sz val="10"/>
        <color rgb="FF000000"/>
        <rFont val="Arial"/>
      </rPr>
      <t xml:space="preserve">Methodology: </t>
    </r>
    <r>
      <rPr>
        <sz val="10"/>
        <color rgb="FF000000"/>
        <rFont val="Arial"/>
      </rPr>
      <t xml:space="preserve">Outcome and output indicator figures for 2026 are taken from the "aggregate results" tabs. For the majority of indicators, an 80% success factor is applied to aggregate results based on historic GEF project performance relative to anticipated results.
A 5% reduction is made to area-based indicators to account for the minimal incidence of double-counting.
For finance indicators, the success factor is not applied because these outcomes are likely to be contract-based and can be assumed to deliver the projected levels. An additional 50% adjustment is made to account for the fact that not all co-finance results will fit the ICF definition. Prices are then converted from USD to GBP.
The UK is then attributed 18.9% of these results due to the fact that the UK contributed $73m of the $386m total GBFF pot over the entire programme.
</t>
    </r>
    <r>
      <rPr>
        <b/>
        <sz val="10"/>
        <color rgb="FF000000"/>
        <rFont val="Arial"/>
      </rPr>
      <t xml:space="preserve">
Note: </t>
    </r>
    <r>
      <rPr>
        <sz val="10"/>
        <color rgb="FF000000"/>
        <rFont val="Arial"/>
      </rPr>
      <t>Outcome indicator figures differ from aggregate figures (and output indicators) because these figures represent ICF eligibility. Only projects with Principal or Signifcant Rio Markers for Climate Mitigation and/or Adaptation are counted for output indicators, with the exception of greenhouse gas emission mitigations and area of land under improved management practices - which are counted regardless of Rio markers.</t>
    </r>
  </si>
  <si>
    <r>
      <rPr>
        <b/>
        <sz val="10"/>
        <color rgb="FF000000"/>
        <rFont val="Arial"/>
      </rPr>
      <t xml:space="preserve">Table 10: </t>
    </r>
    <r>
      <rPr>
        <sz val="10"/>
        <color rgb="FF000000"/>
        <rFont val="Arial"/>
      </rPr>
      <t>Results calculation for 2027 Annual Review</t>
    </r>
  </si>
  <si>
    <t>FINAL AR27 RESULT</t>
  </si>
  <si>
    <r>
      <rPr>
        <b/>
        <sz val="10"/>
        <color rgb="FF000000"/>
        <rFont val="Arial"/>
      </rPr>
      <t xml:space="preserve">Methodology: </t>
    </r>
    <r>
      <rPr>
        <sz val="10"/>
        <color rgb="FF000000"/>
        <rFont val="Arial"/>
      </rPr>
      <t xml:space="preserve">Outcome and output indicator figures for 2027 are taken from the "aggregate results" tabs. For the majority of indicators, an 80% success factor is applied to aggregate results based on historic GEF project performance relative to anticipated results.
A 5% reduction is made to area-based indicators to account for the minimal incidence of double-counting.
For finance indicators, the success factor is not applied because these outcomes are likely to be contract-based and can be assumed to deliver the projected levels. An additional 50% adjustment is made to account for the fact that not all co-finance results will fit the ICF definition. Prices are then converted from USD to GBP.
The UK is then attributed 18.3% of these results due to the fact that the UK contributed $70.8m of the $386m total GBFF pot over the entire programme.
</t>
    </r>
    <r>
      <rPr>
        <b/>
        <sz val="10"/>
        <color rgb="FF000000"/>
        <rFont val="Arial"/>
      </rPr>
      <t xml:space="preserve">
Note: </t>
    </r>
    <r>
      <rPr>
        <sz val="10"/>
        <color rgb="FF000000"/>
        <rFont val="Arial"/>
      </rPr>
      <t>Outcome indicator figures differ from aggregate figures (and output indicators) because these figures represent ICF eligibility. Only projects with Principal or Signifcant Rio Markers for Climate Mitigation and/or Adaptation are counted for output indicators, with the exception of greenhouse gas emission mitigations which are counted regardless of Rio markers.</t>
    </r>
  </si>
  <si>
    <t>PROJECT NAME</t>
  </si>
  <si>
    <t>Global Biodiveristy Framework Fund - UK Contribution</t>
  </si>
  <si>
    <t>IMPACT</t>
  </si>
  <si>
    <t>Impact Indicator 1</t>
  </si>
  <si>
    <t>Baseline (June 2024)</t>
  </si>
  <si>
    <t>Milestone 1 (June 2025)</t>
  </si>
  <si>
    <t>Milestone 2 (June 2026)</t>
  </si>
  <si>
    <t>Milestone 3 (June 2027)</t>
  </si>
  <si>
    <t>Target (June 2028)</t>
  </si>
  <si>
    <t>Assumptions/notes</t>
  </si>
  <si>
    <t>International Community on track to deliver goals and targets of the Global Biodiversity Framework, delivering global environmental benefits and strengthened domestic capacity to generate sustainable environmental improvements</t>
  </si>
  <si>
    <t>International delivery of Global Biodiversity Framework</t>
  </si>
  <si>
    <t>Planned</t>
  </si>
  <si>
    <t>10% National Biodiversity Strategies and Action Plans published (19)</t>
  </si>
  <si>
    <t>50% National Biodiversity Strategies and Action Plans published (98)</t>
  </si>
  <si>
    <t xml:space="preserve">100% National Biodiversity Strategies and Action Plans published (196)
Interim Targets achieved:
18 - identification of harmful subsidies
</t>
  </si>
  <si>
    <t>National Reporting on GBF delivery demonstrates progress towards achieving the goals and targets
Interim Targets achieved:
19(a) - International public nature finance flows</t>
  </si>
  <si>
    <t>NA</t>
  </si>
  <si>
    <t>Assumptions made in supporting the achievement of the Impact Statement
- Countries will prioritise publishing an NBSAP in order to align GBF Fund projects to national strategies.
- Countries will deliver on the plans and commitments in their NBSAPs
- The success rate of GBF Fund projects is high to make tangible, long term improvements to the environment</t>
  </si>
  <si>
    <t>Achieved</t>
  </si>
  <si>
    <t>Baseline data</t>
  </si>
  <si>
    <t>27% (52 NBSAPs)</t>
  </si>
  <si>
    <t>53% (104 NBSAPs)</t>
  </si>
  <si>
    <t>UN CBD National Reporting website</t>
  </si>
  <si>
    <t>OUTCOME</t>
  </si>
  <si>
    <t>Outcome Indicator 1 (ICF KPI 1)</t>
  </si>
  <si>
    <t>To fund activities through UK investment that supports delivery of the GBF, leading to improvements in local and regional biodiversity and additional public and private investment in nature</t>
  </si>
  <si>
    <t>Number of people supported to cope with the effects of climate change as a result of ICF investment</t>
  </si>
  <si>
    <t>In absence of programme-level anticipated beneficiary data, no GBF Fund target is proposed, but the indicator will be monitored across the GBF Fund programme</t>
  </si>
  <si>
    <t>GEF Secretariat data on GBF Fund projects</t>
  </si>
  <si>
    <t>Outcome Indicator 2 (ICF KPI 6)</t>
  </si>
  <si>
    <t>Greenhouse gas emissions reduced or avoided (m tCO2e) as a result of ICF investment</t>
  </si>
  <si>
    <t>0</t>
  </si>
  <si>
    <t>GBF Fund Progress Report</t>
  </si>
  <si>
    <t>Outcome Indicator 3 (ICF KPI 11)</t>
  </si>
  <si>
    <t xml:space="preserve">Volume of public finance mobilised for climate change purposes as a result of ICF investment (£m) </t>
  </si>
  <si>
    <t>Although the GBF Fund aims to leverage co-financing at a rate of 7:1, no disaggregation of public/private finance is proposed, but the indicator is tracked across the GBF Fund programme</t>
  </si>
  <si>
    <t>GBF Fund Progress Report + GEF Secretariat disaggregation</t>
  </si>
  <si>
    <t>Outcome Indicator 4  (ICF KPI 12)</t>
  </si>
  <si>
    <t>Volume of private finance mobilised for climate change purposes as a result of ICF investment (£m)</t>
  </si>
  <si>
    <t>Outcome Indicator 5  (ICF KPI 17)</t>
  </si>
  <si>
    <t>Hectares of land (m) that have received sustainable land management practices as a result of ICF investment</t>
  </si>
  <si>
    <t xml:space="preserve"> Source</t>
  </si>
  <si>
    <t>INPUTS (£)</t>
  </si>
  <si>
    <t>Defra (£)</t>
  </si>
  <si>
    <t>Govt (£)</t>
  </si>
  <si>
    <t>55m</t>
  </si>
  <si>
    <t>INPUTS (HR)</t>
  </si>
  <si>
    <t>Defra (FTEs)</t>
  </si>
  <si>
    <t>0.7</t>
  </si>
  <si>
    <t>OUTPUT 1</t>
  </si>
  <si>
    <t>Output Indicator 1.1</t>
  </si>
  <si>
    <t xml:space="preserve">Terrestrial protected areas created or under improved management (million hectares) </t>
  </si>
  <si>
    <t>Output Indicator 1.2</t>
  </si>
  <si>
    <t>Marine protected areas created or under improved management (million hectares)</t>
  </si>
  <si>
    <t>Output Indicator 1.3</t>
  </si>
  <si>
    <t xml:space="preserve">Area of land and ecosystems under restoration (thousand hectares) </t>
  </si>
  <si>
    <t>Output Indicator 1.4</t>
  </si>
  <si>
    <t>Area of landscapes under improved practices (millions hectares; excl. protected areas)</t>
  </si>
  <si>
    <t>Output Indicator 1.5</t>
  </si>
  <si>
    <t>Area of marine habitat under improved practices to benefit biodiversity (million hectares; excl. protected areas)</t>
  </si>
  <si>
    <t>Output Indicator 1.6</t>
  </si>
  <si>
    <t>Number of direct beneficiaries disaggregated by gender as co-benefit of GEF investment (thousands)</t>
  </si>
  <si>
    <t>In absence of programme-level ancitpated beneficiary data, no GBF Fund target is proposed, but the indicator will be monitored across the GBF Fund programme</t>
  </si>
  <si>
    <t>Achieved (Total)</t>
  </si>
  <si>
    <t>Disaggregation (women)</t>
  </si>
  <si>
    <t>% Women</t>
  </si>
  <si>
    <t>Output Indicator 1.7 (portfolio)</t>
  </si>
  <si>
    <t xml:space="preserve">Co-financing ratio of GBF Fund projects (e.g. £7 of funds leveraged for £1 of GBF Fund financing is 7:1) </t>
  </si>
  <si>
    <t>7:1 (GEF7 achieved target)</t>
  </si>
  <si>
    <t>8:1</t>
  </si>
  <si>
    <t>Output Indicator 1.8 (portfolio)</t>
  </si>
  <si>
    <t>36 percent + 3 percent of funding allocated to small island developing States (SIDS)/least 
developed countries (LDCs</t>
  </si>
  <si>
    <t>Output Indicator 1.9 (portfolio)</t>
  </si>
  <si>
    <t>25 percent to be programmed through international financing institutions (IFIs)</t>
  </si>
  <si>
    <t>Output Indicator 1.10 (portfolio)</t>
  </si>
  <si>
    <t>Share of 20 percent by 2030 to support actions by Indigenous Peoples and Local Communities (IPLCs)</t>
  </si>
  <si>
    <t>Rio Marker?</t>
  </si>
  <si>
    <t>In-year Result</t>
  </si>
  <si>
    <t>In-year Target</t>
  </si>
  <si>
    <t>Cumulative Result</t>
  </si>
  <si>
    <t>Cumulative Target</t>
  </si>
  <si>
    <t>Of Whom Men</t>
  </si>
  <si>
    <t>Of Whom Women</t>
  </si>
  <si>
    <t>1. People supported to adapt to climate change (#)</t>
  </si>
  <si>
    <t>N/A</t>
  </si>
  <si>
    <t>Cameroon</t>
  </si>
  <si>
    <t>Congo</t>
  </si>
  <si>
    <t>CAR</t>
  </si>
  <si>
    <t>6. Greenhouse Gas Emissions Avoided (tCO2e)</t>
  </si>
  <si>
    <t>11. Public Finance Leveraged (£m)</t>
  </si>
  <si>
    <t>12. Private Finance Leveraged (£m)</t>
  </si>
  <si>
    <t>17. Land Sustainably Managed (ha)</t>
  </si>
  <si>
    <t>TA 1. Countries Supported (#)</t>
  </si>
  <si>
    <t>TA 2. Individuals supported (#)</t>
  </si>
  <si>
    <t>DI 1. Land Sustainably Managed (ha)</t>
  </si>
  <si>
    <t>DI KPI 1: Area under Sunstainable Mangement (ha)</t>
  </si>
  <si>
    <t>DI KPI 1a: Annual area of ecosystem (land or sea) which has benefitted from a restoration activity as a result of Defra ODA funding (ha)</t>
  </si>
  <si>
    <t>DI 1b: Annual area of land or sea that has been put under some form or protection or had existing protections increased as a result of Defra ODA funding. (OECM’s)</t>
  </si>
  <si>
    <t>Milestone 4 (June 2028)</t>
  </si>
  <si>
    <t>National Reporting on GBF delivery demonstrates progress towards achieving the goals and targets
Interim Targets continue to show progress:
19(a) - International public nature finance flows</t>
  </si>
  <si>
    <t>60% (116 NBSAPs)</t>
  </si>
  <si>
    <t>70% (136 NBSAPs)</t>
  </si>
  <si>
    <r>
      <rPr>
        <b/>
        <sz val="9"/>
        <color rgb="FF000000"/>
        <rFont val="Arial"/>
      </rPr>
      <t xml:space="preserve">MILESTONES &amp; TARGETS
</t>
    </r>
    <r>
      <rPr>
        <sz val="9"/>
        <color rgb="FF000000"/>
        <rFont val="Arial"/>
      </rPr>
      <t xml:space="preserve">Milestones are set proportionally to the anticipated results from a £100m investment calculated in the Business Case. Based on a total £55m spend, final planned results are estimated as 55% of those estimated in the Business Case. Milestones are assumed to be delivered linearly over a four year period, 2025-2028. Note that meeting milestones will depend on the rate at which projects are approved in work programmes. Not all available funding will be allocated to approved projects in the year it is first made available. Narrative reporting will be provided where needed.
Tracking of acheivements assumes a zero baseline at the start of the GBF Fund (June 2024). UK attribution of 18.9% based on £55m ($73m) contribution to a total pot of $386m as per June 2026 Financial Report. https://www.thegef.org/sites/default/files/documents/2026-05/EN.GEF_.GBFF_.06_Inf.03%20GBFF%20Financial%20Report.pdf.
Assumptions made in acheiveing the outputs:
 - As results are based on project-level estimated results, an 80% success factor is applied based on historic GEF performance.
 - GBF Fund achieves required capitalisation level from donors, project proposals meet funding requirements, 
 - Agencies fulfil their role in the delivery chain, 
 - GEF Secretariat are sufficiently resourced to manage new fund, 
 - GEF Secretariat make positive changes in response to independent review of GBF Fund
</t>
    </r>
    <r>
      <rPr>
        <b/>
        <sz val="9"/>
        <color rgb="FF000000"/>
        <rFont val="Arial"/>
      </rPr>
      <t xml:space="preserve">Calculations:
</t>
    </r>
    <r>
      <rPr>
        <sz val="9"/>
        <color rgb="FF000000"/>
        <rFont val="Arial"/>
      </rPr>
      <t xml:space="preserve">- Milestones are based on the relative level of UK contribution compared to the anticipated results from a £100m investment as modelled in the Business Case. Spend, milestones and results are cumulative.
- This level of real-world outputs are unlikely to be realised by June 2028. due to the time lag resulting from a) staggered contributions, b) project approval and operationalisation, c) project delivery timelines, and d) output realisation. </t>
    </r>
  </si>
  <si>
    <r>
      <rPr>
        <b/>
        <sz val="9"/>
        <color rgb="FF000000"/>
        <rFont val="Arial"/>
      </rPr>
      <t xml:space="preserve">MILESTONES &amp; TARGETS
</t>
    </r>
    <r>
      <rPr>
        <sz val="9"/>
        <color rgb="FF000000"/>
        <rFont val="Arial"/>
      </rPr>
      <t>Milestones are set proportionally to the anticipated results from a £100m investment calculated in the Business Case. Based on a total £55m spend, final planned results are estimated as 55% of those estimated in the Business Case. Milestones are assumed to be delivered linearly over a four year period, 2025-2028. Note that meeting milestones will depend on the rate at which projects are approved in work programmes. Not all available funding will be allocated to approved projects in the year it is first made available. Narrative reporting will be provided where needed.
No GBF Fund targets are proposed where there is an absence of past, portfolio-level monitoring of beneficiary data from GEF projects, but the indicator will be monitored across the GBF Fund portfolio. Where used, targets are adjusted for project success rating (80%). 
No quantiative milestones are given for outcome indicators 1, 3 and 4, but are tracked as part of our ICF reporting so have been included. Co-finance for climate finance is consistent with the OECD-DAC Rio Marker methodology (and will allow calculation of the UK ICF KPIs on volumes of climate finance mobilised). A conservative 50% adjustment factor has been incldued to account for different defintions of co-finance between GEF and ICF.
Tracking of acheivements assumes a zero baseline at the start of the GBF Fund (June 2024). UK attribution of 18.9% based on £55m ($73m) contribution to a total pot of $386m as per June 2026 Financial Report. https://www.thegef.org/sites/default/files/documents/2026-05/EN.GEF_.GBFF_.06_Inf.03%20GBFF%20Financial%20Report.pdf.
All KPIs achieved are programme level expected achieved results aggregated from individual project result frameworks, except for finance indictaors (KPI 11&amp;12) which are considered actuals
Outcome Indicator 5 is a composite of Output Indicators 1-5, with an adjustment factor of 95% applied to account for any (negligble) double-counting (as agreed with GEF Secretariat).
Assumptions made in acheiving the Outcomes:
- Other finance sources for nature are forthcoming;
- Projects will have effective monitoring programmes in place to track results against proposed results indicators.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</si>
</sst>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0.0"/>
    <numFmt numFmtId="166" formatCode="#,##0.000"/>
    <numFmt numFmtId="167" formatCode="_-* #,##0_-;\-* #,##0_-;_-* &quot;-&quot;??_-;_-@_-"/>
    <numFmt numFmtId="168" formatCode="_-[$$-409]* #,##0_ ;_-[$$-409]* \-#,##0\ ;_-[$$-409]* &quot;-&quot;??_ ;_-@_ "/>
    <numFmt numFmtId="169" formatCode="_-[$£-809]* #,##0_-;\-[$£-809]* #,##0_-;_-[$£-809]* &quot;-&quot;??_-;_-@_-"/>
    <numFmt numFmtId="170" formatCode="_-[$$-409]* #,##0.00000_ ;_-[$$-409]* \-#,##0.00000\ ;_-[$$-409]* &quot;-&quot;??_ ;_-@_ "/>
    <numFmt numFmtId="171" formatCode="_-&quot;£&quot;* #,##0_-;\-&quot;£&quot;* #,##0_-;_-&quot;£&quot;* &quot;-&quot;??_-;_-@_-"/>
    <numFmt numFmtId="172" formatCode="0.000"/>
    <numFmt numFmtId="173" formatCode="_-[$$-409]* #,##0.00_ ;_-[$$-409]* \-#,##0.00\ ;_-[$$-409]* &quot;-&quot;??_ ;_-@_ "/>
    <numFmt numFmtId="174" formatCode="_-[$$-409]* #,##0.000_ ;_-[$$-409]* \-#,##0.000\ ;_-[$$-409]* &quot;-&quot;???_ ;_-@_ "/>
  </numFmts>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9"/>
      <color rgb="FFFF0000"/>
      <name val="Arial"/>
      <family val="2"/>
    </font>
    <font>
      <sz val="10"/>
      <name val="Arial"/>
      <family val="2"/>
    </font>
    <font>
      <sz val="9"/>
      <color rgb="FF000000"/>
      <name val="Arial"/>
      <family val="2"/>
    </font>
    <font>
      <sz val="9"/>
      <color theme="1"/>
      <name val="Arial"/>
      <family val="2"/>
    </font>
    <font>
      <b/>
      <sz val="9"/>
      <color theme="1"/>
      <name val="Arial"/>
      <family val="2"/>
    </font>
    <font>
      <b/>
      <sz val="10"/>
      <name val="Arial"/>
      <family val="2"/>
    </font>
    <font>
      <sz val="10"/>
      <name val="Arial"/>
      <family val="2"/>
    </font>
    <font>
      <b/>
      <u/>
      <sz val="10"/>
      <name val="Arial"/>
      <family val="2"/>
    </font>
    <font>
      <u/>
      <sz val="10"/>
      <color theme="10"/>
      <name val="Arial"/>
      <family val="2"/>
    </font>
    <font>
      <sz val="10"/>
      <name val="Arial"/>
      <family val="2"/>
    </font>
    <font>
      <sz val="11"/>
      <color rgb="FF242424"/>
      <name val="Aptos Narrow"/>
      <family val="2"/>
    </font>
    <font>
      <sz val="10"/>
      <color rgb="FF000000"/>
      <name val="Arial"/>
      <family val="2"/>
    </font>
    <font>
      <u/>
      <sz val="11"/>
      <color theme="10"/>
      <name val="Calibri"/>
      <family val="2"/>
      <scheme val="minor"/>
    </font>
    <font>
      <b/>
      <sz val="10"/>
      <color rgb="FF000000"/>
      <name val="Arial"/>
      <family val="2"/>
    </font>
    <font>
      <b/>
      <sz val="10"/>
      <color rgb="FF242424"/>
      <name val="Arial"/>
      <family val="2"/>
    </font>
    <font>
      <sz val="10"/>
      <color rgb="FFFF0000"/>
      <name val="Arial"/>
      <family val="2"/>
    </font>
    <font>
      <sz val="10"/>
      <color theme="1"/>
      <name val="Arial"/>
      <family val="2"/>
    </font>
    <font>
      <b/>
      <sz val="14"/>
      <color rgb="FFFF0000"/>
      <name val="Arial"/>
      <family val="2"/>
    </font>
    <font>
      <sz val="11"/>
      <color rgb="FF242424"/>
      <name val="Consolas"/>
      <family val="3"/>
    </font>
    <font>
      <b/>
      <sz val="10"/>
      <name val="Arial"/>
    </font>
    <font>
      <b/>
      <sz val="9"/>
      <color rgb="FF000000"/>
      <name val="Arial"/>
    </font>
    <font>
      <sz val="9"/>
      <color rgb="FF000000"/>
      <name val="Arial"/>
    </font>
    <font>
      <b/>
      <sz val="10"/>
      <color rgb="FF000000"/>
      <name val="Arial"/>
    </font>
    <font>
      <sz val="10"/>
      <color rgb="FF000000"/>
      <name val="Arial"/>
    </font>
    <font>
      <sz val="10"/>
      <color rgb="FF92D050"/>
      <name val="Arial"/>
    </font>
    <font>
      <sz val="10"/>
      <color rgb="FFFFFF00"/>
      <name val="Arial"/>
    </font>
    <font>
      <sz val="10"/>
      <color rgb="FFFFC000"/>
      <name val="Arial"/>
    </font>
    <font>
      <sz val="10"/>
      <color rgb="FF00B0F0"/>
      <name val="Arial"/>
    </font>
    <font>
      <u/>
      <sz val="10"/>
      <name val="Arial"/>
    </font>
  </fonts>
  <fills count="42">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99CCFF"/>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rgb="FF000000"/>
      </right>
      <top style="medium">
        <color rgb="FF000000"/>
      </top>
      <bottom style="medium">
        <color rgb="FF000000"/>
      </bottom>
      <diagonal/>
    </border>
    <border>
      <left/>
      <right/>
      <top style="thin">
        <color theme="4" tint="0.39997558519241921"/>
      </top>
      <bottom style="thin">
        <color theme="4" tint="0.39997558519241921"/>
      </bottom>
      <diagonal/>
    </border>
  </borders>
  <cellStyleXfs count="12">
    <xf numFmtId="0" fontId="0" fillId="0" borderId="0"/>
    <xf numFmtId="0" fontId="12" fillId="0" borderId="0"/>
    <xf numFmtId="0" fontId="14" fillId="0" borderId="0" applyNumberFormat="0" applyFill="0" applyBorder="0" applyAlignment="0" applyProtection="0"/>
    <xf numFmtId="9" fontId="15" fillId="0" borderId="0" applyFont="0" applyFill="0" applyBorder="0" applyAlignment="0" applyProtection="0"/>
    <xf numFmtId="0" fontId="18" fillId="0" borderId="0" applyNumberFormat="0" applyFill="0" applyBorder="0" applyAlignment="0" applyProtection="0"/>
    <xf numFmtId="0" fontId="3" fillId="0" borderId="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cellStyleXfs>
  <cellXfs count="338">
    <xf numFmtId="0" fontId="0" fillId="0" borderId="0" xfId="0"/>
    <xf numFmtId="0" fontId="0" fillId="0" borderId="0" xfId="0" applyAlignment="1">
      <alignment wrapText="1"/>
    </xf>
    <xf numFmtId="0" fontId="7" fillId="0" borderId="0" xfId="0" applyFont="1" applyAlignment="1">
      <alignment wrapText="1"/>
    </xf>
    <xf numFmtId="49" fontId="4" fillId="2" borderId="1" xfId="1" applyNumberFormat="1" applyFont="1" applyFill="1" applyBorder="1" applyAlignment="1">
      <alignment vertical="top" wrapText="1"/>
    </xf>
    <xf numFmtId="49" fontId="4" fillId="0" borderId="8" xfId="1" applyNumberFormat="1" applyFont="1" applyBorder="1" applyAlignment="1">
      <alignment vertical="top" wrapText="1"/>
    </xf>
    <xf numFmtId="49" fontId="12" fillId="0" borderId="0" xfId="1" applyNumberFormat="1"/>
    <xf numFmtId="49" fontId="4" fillId="2" borderId="0" xfId="1" applyNumberFormat="1" applyFont="1" applyFill="1" applyAlignment="1">
      <alignment vertical="top" wrapText="1"/>
    </xf>
    <xf numFmtId="49" fontId="4" fillId="0" borderId="0" xfId="1" applyNumberFormat="1" applyFont="1" applyAlignment="1">
      <alignment vertical="top" wrapText="1"/>
    </xf>
    <xf numFmtId="49" fontId="4" fillId="2" borderId="9" xfId="1" applyNumberFormat="1" applyFont="1" applyFill="1" applyBorder="1" applyAlignment="1">
      <alignment vertical="top" wrapText="1"/>
    </xf>
    <xf numFmtId="49" fontId="4" fillId="4" borderId="1" xfId="1" applyNumberFormat="1" applyFont="1" applyFill="1" applyBorder="1" applyAlignment="1">
      <alignment vertical="top" wrapText="1"/>
    </xf>
    <xf numFmtId="49" fontId="4" fillId="4" borderId="9" xfId="1" applyNumberFormat="1" applyFont="1" applyFill="1" applyBorder="1" applyAlignment="1">
      <alignment vertical="top" wrapText="1"/>
    </xf>
    <xf numFmtId="49" fontId="4" fillId="7" borderId="12" xfId="1" applyNumberFormat="1" applyFont="1" applyFill="1" applyBorder="1" applyAlignment="1">
      <alignment vertical="top" wrapText="1"/>
    </xf>
    <xf numFmtId="49" fontId="4" fillId="0" borderId="1" xfId="1" applyNumberFormat="1" applyFont="1" applyBorder="1" applyAlignment="1">
      <alignment horizontal="center" vertical="top" wrapText="1"/>
    </xf>
    <xf numFmtId="49" fontId="9" fillId="0" borderId="3" xfId="1" applyNumberFormat="1" applyFont="1" applyBorder="1" applyAlignment="1">
      <alignment vertical="top" wrapText="1"/>
    </xf>
    <xf numFmtId="49" fontId="5" fillId="0" borderId="1" xfId="1" applyNumberFormat="1" applyFont="1" applyBorder="1" applyAlignment="1">
      <alignment vertical="top" wrapText="1"/>
    </xf>
    <xf numFmtId="49" fontId="4" fillId="0" borderId="2" xfId="1" applyNumberFormat="1" applyFont="1" applyBorder="1" applyAlignment="1">
      <alignment horizontal="center" vertical="top" wrapText="1"/>
    </xf>
    <xf numFmtId="49" fontId="5" fillId="0" borderId="8" xfId="1" applyNumberFormat="1" applyFont="1" applyBorder="1" applyAlignment="1">
      <alignment vertical="top" wrapText="1"/>
    </xf>
    <xf numFmtId="49" fontId="5" fillId="0" borderId="6" xfId="1" applyNumberFormat="1" applyFont="1" applyBorder="1" applyAlignment="1">
      <alignment vertical="top" wrapText="1"/>
    </xf>
    <xf numFmtId="49" fontId="4" fillId="4" borderId="8" xfId="1" applyNumberFormat="1" applyFont="1" applyFill="1" applyBorder="1" applyAlignment="1">
      <alignment horizontal="center" vertical="top" wrapText="1"/>
    </xf>
    <xf numFmtId="49" fontId="4" fillId="4" borderId="15" xfId="1" applyNumberFormat="1" applyFont="1" applyFill="1" applyBorder="1" applyAlignment="1">
      <alignment horizontal="center" vertical="top" wrapText="1"/>
    </xf>
    <xf numFmtId="49" fontId="4" fillId="3" borderId="1" xfId="1" applyNumberFormat="1" applyFont="1" applyFill="1" applyBorder="1" applyAlignment="1">
      <alignment vertical="top" wrapText="1"/>
    </xf>
    <xf numFmtId="49" fontId="4" fillId="0" borderId="1" xfId="1" applyNumberFormat="1" applyFont="1" applyBorder="1" applyAlignment="1">
      <alignment vertical="top" wrapText="1"/>
    </xf>
    <xf numFmtId="49" fontId="5" fillId="8" borderId="1" xfId="1" applyNumberFormat="1" applyFont="1" applyFill="1" applyBorder="1" applyAlignment="1">
      <alignment vertical="top" wrapText="1"/>
    </xf>
    <xf numFmtId="49" fontId="4" fillId="4" borderId="9" xfId="1" applyNumberFormat="1" applyFont="1" applyFill="1" applyBorder="1" applyAlignment="1">
      <alignment horizontal="center" vertical="top" wrapText="1"/>
    </xf>
    <xf numFmtId="49" fontId="5" fillId="0" borderId="7" xfId="1" applyNumberFormat="1" applyFont="1" applyBorder="1" applyAlignment="1">
      <alignment vertical="top" wrapText="1"/>
    </xf>
    <xf numFmtId="49" fontId="5" fillId="0" borderId="8" xfId="1" applyNumberFormat="1" applyFont="1" applyBorder="1" applyAlignment="1">
      <alignment horizontal="center" vertical="top" wrapText="1"/>
    </xf>
    <xf numFmtId="49" fontId="4" fillId="0" borderId="3" xfId="1" applyNumberFormat="1" applyFont="1" applyBorder="1" applyAlignment="1">
      <alignment vertical="top" wrapText="1"/>
    </xf>
    <xf numFmtId="49" fontId="5" fillId="0" borderId="2" xfId="1" applyNumberFormat="1" applyFont="1" applyBorder="1" applyAlignment="1">
      <alignment vertical="top" wrapText="1"/>
    </xf>
    <xf numFmtId="49" fontId="4" fillId="3" borderId="4" xfId="1" applyNumberFormat="1" applyFont="1" applyFill="1" applyBorder="1" applyAlignment="1">
      <alignment vertical="top" wrapText="1"/>
    </xf>
    <xf numFmtId="49" fontId="4" fillId="8" borderId="3" xfId="1" applyNumberFormat="1" applyFont="1" applyFill="1" applyBorder="1" applyAlignment="1">
      <alignment vertical="top" wrapText="1"/>
    </xf>
    <xf numFmtId="49" fontId="4" fillId="8" borderId="10" xfId="1" applyNumberFormat="1" applyFont="1" applyFill="1" applyBorder="1" applyAlignment="1">
      <alignment vertical="top" wrapText="1"/>
    </xf>
    <xf numFmtId="49" fontId="4" fillId="3" borderId="5" xfId="1" applyNumberFormat="1" applyFont="1" applyFill="1" applyBorder="1" applyAlignment="1">
      <alignment vertical="top" wrapText="1"/>
    </xf>
    <xf numFmtId="49" fontId="4" fillId="0" borderId="3" xfId="1" applyNumberFormat="1" applyFont="1" applyBorder="1" applyAlignment="1">
      <alignment horizontal="right" vertical="top" wrapText="1"/>
    </xf>
    <xf numFmtId="49" fontId="4" fillId="0" borderId="10" xfId="1" applyNumberFormat="1" applyFont="1" applyBorder="1" applyAlignment="1">
      <alignment horizontal="right" vertical="top" wrapText="1"/>
    </xf>
    <xf numFmtId="49" fontId="4" fillId="8" borderId="9" xfId="1" applyNumberFormat="1" applyFont="1" applyFill="1" applyBorder="1" applyAlignment="1">
      <alignment vertical="top" wrapText="1"/>
    </xf>
    <xf numFmtId="49" fontId="4" fillId="8" borderId="1" xfId="1" applyNumberFormat="1" applyFont="1" applyFill="1" applyBorder="1" applyAlignment="1">
      <alignment vertical="top" wrapText="1"/>
    </xf>
    <xf numFmtId="49" fontId="4" fillId="3" borderId="2" xfId="1" applyNumberFormat="1" applyFont="1" applyFill="1" applyBorder="1" applyAlignment="1">
      <alignment vertical="top" wrapText="1"/>
    </xf>
    <xf numFmtId="49" fontId="4" fillId="0" borderId="10" xfId="1" applyNumberFormat="1" applyFont="1" applyBorder="1" applyAlignment="1">
      <alignment vertical="top" wrapText="1"/>
    </xf>
    <xf numFmtId="49" fontId="4" fillId="7" borderId="9" xfId="1" applyNumberFormat="1" applyFont="1" applyFill="1" applyBorder="1" applyAlignment="1">
      <alignment vertical="top" wrapText="1"/>
    </xf>
    <xf numFmtId="0" fontId="4" fillId="0" borderId="10" xfId="1" applyFont="1" applyBorder="1" applyAlignment="1">
      <alignment horizontal="right" vertical="top" wrapText="1"/>
    </xf>
    <xf numFmtId="49" fontId="7" fillId="0" borderId="0" xfId="1" applyNumberFormat="1" applyFont="1"/>
    <xf numFmtId="49" fontId="4" fillId="0" borderId="5" xfId="1" applyNumberFormat="1" applyFont="1" applyBorder="1" applyAlignment="1">
      <alignment horizontal="center" vertical="top" wrapText="1"/>
    </xf>
    <xf numFmtId="49" fontId="4" fillId="2" borderId="9"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49" fontId="4" fillId="4" borderId="9" xfId="1" applyNumberFormat="1" applyFont="1" applyFill="1" applyBorder="1" applyAlignment="1">
      <alignment horizontal="center" vertical="center" wrapText="1"/>
    </xf>
    <xf numFmtId="49" fontId="4" fillId="0" borderId="1" xfId="1" applyNumberFormat="1" applyFont="1" applyBorder="1" applyAlignment="1">
      <alignment horizontal="center" vertical="center" wrapText="1"/>
    </xf>
    <xf numFmtId="49" fontId="9" fillId="0" borderId="3" xfId="1" applyNumberFormat="1" applyFont="1" applyBorder="1" applyAlignment="1">
      <alignment horizontal="center" vertical="center" wrapText="1"/>
    </xf>
    <xf numFmtId="49" fontId="4" fillId="0" borderId="10" xfId="1" applyNumberFormat="1" applyFont="1" applyBorder="1" applyAlignment="1">
      <alignment horizontal="center" vertical="center" wrapText="1"/>
    </xf>
    <xf numFmtId="49" fontId="4" fillId="0" borderId="5" xfId="1" applyNumberFormat="1" applyFont="1" applyBorder="1" applyAlignment="1">
      <alignment horizontal="center" vertical="center" wrapText="1"/>
    </xf>
    <xf numFmtId="49" fontId="5" fillId="8" borderId="1" xfId="1" applyNumberFormat="1" applyFont="1" applyFill="1" applyBorder="1" applyAlignment="1">
      <alignment horizontal="center" vertical="center" wrapText="1"/>
    </xf>
    <xf numFmtId="49" fontId="5" fillId="0" borderId="1" xfId="1" applyNumberFormat="1" applyFont="1" applyBorder="1" applyAlignment="1">
      <alignment horizontal="center" vertical="center" wrapText="1"/>
    </xf>
    <xf numFmtId="49" fontId="5" fillId="0" borderId="8" xfId="1" applyNumberFormat="1" applyFont="1" applyBorder="1" applyAlignment="1">
      <alignment horizontal="center" vertical="center" wrapText="1"/>
    </xf>
    <xf numFmtId="49" fontId="4" fillId="4" borderId="8" xfId="1" applyNumberFormat="1" applyFont="1" applyFill="1" applyBorder="1" applyAlignment="1">
      <alignment horizontal="center" vertical="center" wrapText="1"/>
    </xf>
    <xf numFmtId="49" fontId="4" fillId="4" borderId="15" xfId="1" applyNumberFormat="1" applyFont="1" applyFill="1" applyBorder="1" applyAlignment="1">
      <alignment horizontal="center" vertical="center" wrapText="1"/>
    </xf>
    <xf numFmtId="49" fontId="4" fillId="2" borderId="9" xfId="1" applyNumberFormat="1" applyFont="1" applyFill="1" applyBorder="1" applyAlignment="1">
      <alignment horizontal="center" vertical="top" wrapText="1"/>
    </xf>
    <xf numFmtId="49" fontId="4" fillId="4" borderId="1" xfId="1" applyNumberFormat="1" applyFont="1" applyFill="1" applyBorder="1" applyAlignment="1">
      <alignment horizontal="center" vertical="top" wrapText="1"/>
    </xf>
    <xf numFmtId="49" fontId="9" fillId="0" borderId="3" xfId="1" applyNumberFormat="1" applyFont="1" applyBorder="1" applyAlignment="1">
      <alignment horizontal="center" vertical="top" wrapText="1"/>
    </xf>
    <xf numFmtId="49" fontId="4" fillId="0" borderId="10" xfId="1" applyNumberFormat="1" applyFont="1" applyBorder="1" applyAlignment="1">
      <alignment horizontal="center" vertical="top" wrapText="1"/>
    </xf>
    <xf numFmtId="49" fontId="5" fillId="8" borderId="1" xfId="1" applyNumberFormat="1" applyFont="1" applyFill="1" applyBorder="1" applyAlignment="1">
      <alignment horizontal="center" vertical="top" wrapText="1"/>
    </xf>
    <xf numFmtId="49" fontId="5" fillId="0" borderId="1" xfId="1" applyNumberFormat="1" applyFont="1" applyBorder="1" applyAlignment="1">
      <alignment horizontal="center" vertical="top" wrapText="1"/>
    </xf>
    <xf numFmtId="49" fontId="4" fillId="0" borderId="11" xfId="1" applyNumberFormat="1" applyFont="1" applyBorder="1" applyAlignment="1">
      <alignment horizontal="center" vertical="top" wrapText="1"/>
    </xf>
    <xf numFmtId="49" fontId="8" fillId="0" borderId="3" xfId="1" applyNumberFormat="1" applyFont="1" applyBorder="1" applyAlignment="1">
      <alignment vertical="top" wrapText="1"/>
    </xf>
    <xf numFmtId="49" fontId="5" fillId="6" borderId="1" xfId="1" applyNumberFormat="1" applyFont="1" applyFill="1" applyBorder="1" applyAlignment="1">
      <alignment vertical="top" wrapText="1"/>
    </xf>
    <xf numFmtId="49" fontId="11" fillId="0" borderId="0" xfId="1" applyNumberFormat="1" applyFont="1"/>
    <xf numFmtId="49" fontId="13" fillId="0" borderId="0" xfId="1" applyNumberFormat="1" applyFont="1"/>
    <xf numFmtId="0" fontId="14" fillId="0" borderId="0" xfId="2"/>
    <xf numFmtId="9" fontId="0" fillId="0" borderId="0" xfId="0" applyNumberFormat="1"/>
    <xf numFmtId="2" fontId="5" fillId="0" borderId="3" xfId="1" applyNumberFormat="1" applyFont="1" applyBorder="1" applyAlignment="1">
      <alignment horizontal="center" vertical="top" wrapText="1"/>
    </xf>
    <xf numFmtId="49" fontId="4" fillId="0" borderId="9" xfId="1" applyNumberFormat="1" applyFont="1" applyBorder="1" applyAlignment="1">
      <alignment horizontal="center" vertical="top" wrapText="1"/>
    </xf>
    <xf numFmtId="49" fontId="5" fillId="0" borderId="9" xfId="1" applyNumberFormat="1" applyFont="1" applyBorder="1" applyAlignment="1">
      <alignment vertical="top" wrapText="1"/>
    </xf>
    <xf numFmtId="0" fontId="11" fillId="0" borderId="0" xfId="0" applyFont="1" applyAlignment="1">
      <alignment wrapText="1"/>
    </xf>
    <xf numFmtId="2" fontId="5" fillId="0" borderId="0" xfId="1" applyNumberFormat="1" applyFont="1" applyAlignment="1">
      <alignment horizontal="center" wrapText="1"/>
    </xf>
    <xf numFmtId="165" fontId="5" fillId="0" borderId="0" xfId="1" applyNumberFormat="1" applyFont="1" applyAlignment="1">
      <alignment horizontal="center" wrapText="1"/>
    </xf>
    <xf numFmtId="2" fontId="5" fillId="0" borderId="3" xfId="1" applyNumberFormat="1" applyFont="1" applyBorder="1" applyAlignment="1">
      <alignment horizontal="center" vertical="center" wrapText="1"/>
    </xf>
    <xf numFmtId="2" fontId="5" fillId="0" borderId="0" xfId="1" applyNumberFormat="1" applyFont="1" applyAlignment="1">
      <alignment horizontal="center" vertical="center" wrapText="1"/>
    </xf>
    <xf numFmtId="49" fontId="6" fillId="0" borderId="1" xfId="1" applyNumberFormat="1" applyFont="1" applyBorder="1" applyAlignment="1">
      <alignment horizontal="center" vertical="center" wrapText="1"/>
    </xf>
    <xf numFmtId="49" fontId="4" fillId="0" borderId="8" xfId="1" applyNumberFormat="1" applyFont="1" applyBorder="1" applyAlignment="1">
      <alignment horizontal="center" vertical="top" wrapText="1"/>
    </xf>
    <xf numFmtId="9" fontId="5" fillId="0" borderId="3" xfId="3" applyFont="1" applyBorder="1" applyAlignment="1">
      <alignment horizontal="center" vertical="center" wrapText="1"/>
    </xf>
    <xf numFmtId="0" fontId="8" fillId="0" borderId="3" xfId="1" applyFont="1" applyBorder="1" applyAlignment="1">
      <alignment vertical="top" wrapText="1"/>
    </xf>
    <xf numFmtId="0" fontId="5" fillId="6" borderId="1" xfId="1" applyFont="1" applyFill="1" applyBorder="1" applyAlignment="1">
      <alignment vertical="top" wrapText="1"/>
    </xf>
    <xf numFmtId="0" fontId="5" fillId="0" borderId="3" xfId="1" applyFont="1" applyBorder="1" applyAlignment="1">
      <alignment horizontal="center" vertical="top" wrapText="1"/>
    </xf>
    <xf numFmtId="9" fontId="5" fillId="0" borderId="3" xfId="3" applyFont="1" applyBorder="1" applyAlignment="1">
      <alignment horizontal="center" vertical="top" wrapText="1"/>
    </xf>
    <xf numFmtId="165" fontId="5" fillId="0" borderId="3" xfId="1" applyNumberFormat="1" applyFont="1" applyBorder="1" applyAlignment="1">
      <alignment horizontal="center" vertical="top" wrapText="1"/>
    </xf>
    <xf numFmtId="165" fontId="5" fillId="0" borderId="1" xfId="1" applyNumberFormat="1" applyFont="1" applyBorder="1" applyAlignment="1">
      <alignment horizontal="center" vertical="center" wrapText="1"/>
    </xf>
    <xf numFmtId="167" fontId="0" fillId="0" borderId="0" xfId="0" applyNumberFormat="1"/>
    <xf numFmtId="2" fontId="5" fillId="0" borderId="1" xfId="1" applyNumberFormat="1" applyFont="1" applyBorder="1" applyAlignment="1">
      <alignment vertical="top" wrapText="1"/>
    </xf>
    <xf numFmtId="2" fontId="0" fillId="0" borderId="0" xfId="0" applyNumberFormat="1"/>
    <xf numFmtId="168" fontId="0" fillId="0" borderId="0" xfId="0" applyNumberFormat="1"/>
    <xf numFmtId="43" fontId="0" fillId="0" borderId="0" xfId="0" applyNumberFormat="1"/>
    <xf numFmtId="167" fontId="0" fillId="0" borderId="0" xfId="0" applyNumberFormat="1" applyAlignment="1">
      <alignment wrapText="1"/>
    </xf>
    <xf numFmtId="167" fontId="0" fillId="15" borderId="0" xfId="0" applyNumberFormat="1" applyFill="1" applyAlignment="1">
      <alignment wrapText="1"/>
    </xf>
    <xf numFmtId="167" fontId="0" fillId="14" borderId="0" xfId="0" applyNumberFormat="1" applyFill="1" applyAlignment="1">
      <alignment wrapText="1"/>
    </xf>
    <xf numFmtId="167" fontId="0" fillId="11" borderId="0" xfId="0" applyNumberFormat="1" applyFill="1" applyAlignment="1">
      <alignment wrapText="1"/>
    </xf>
    <xf numFmtId="167" fontId="0" fillId="12" borderId="0" xfId="0" applyNumberFormat="1" applyFill="1" applyAlignment="1">
      <alignment wrapText="1"/>
    </xf>
    <xf numFmtId="167" fontId="0" fillId="19" borderId="0" xfId="0" applyNumberFormat="1" applyFill="1" applyAlignment="1">
      <alignment wrapText="1"/>
    </xf>
    <xf numFmtId="167" fontId="0" fillId="20" borderId="0" xfId="0" applyNumberFormat="1" applyFill="1" applyAlignment="1">
      <alignment wrapText="1"/>
    </xf>
    <xf numFmtId="167" fontId="0" fillId="22" borderId="0" xfId="0" applyNumberFormat="1" applyFill="1"/>
    <xf numFmtId="167" fontId="0" fillId="23" borderId="0" xfId="0" applyNumberFormat="1" applyFill="1"/>
    <xf numFmtId="167" fontId="0" fillId="25" borderId="0" xfId="0" applyNumberFormat="1" applyFill="1"/>
    <xf numFmtId="167" fontId="0" fillId="26" borderId="0" xfId="0" applyNumberFormat="1" applyFill="1"/>
    <xf numFmtId="167" fontId="0" fillId="28" borderId="0" xfId="0" applyNumberFormat="1" applyFill="1" applyAlignment="1">
      <alignment wrapText="1"/>
    </xf>
    <xf numFmtId="167" fontId="0" fillId="29" borderId="0" xfId="0" applyNumberFormat="1" applyFill="1" applyAlignment="1">
      <alignment wrapText="1"/>
    </xf>
    <xf numFmtId="167" fontId="0" fillId="29" borderId="0" xfId="0" applyNumberFormat="1" applyFill="1"/>
    <xf numFmtId="0" fontId="0" fillId="30" borderId="0" xfId="0" applyFill="1"/>
    <xf numFmtId="168" fontId="0" fillId="30" borderId="0" xfId="0" applyNumberFormat="1" applyFill="1"/>
    <xf numFmtId="9" fontId="0" fillId="30" borderId="0" xfId="0" applyNumberFormat="1" applyFill="1"/>
    <xf numFmtId="0" fontId="19" fillId="13" borderId="0" xfId="0" applyFont="1" applyFill="1" applyAlignment="1">
      <alignment wrapText="1"/>
    </xf>
    <xf numFmtId="168" fontId="19" fillId="13" borderId="0" xfId="0" applyNumberFormat="1" applyFont="1" applyFill="1" applyAlignment="1">
      <alignment wrapText="1"/>
    </xf>
    <xf numFmtId="9" fontId="19" fillId="13" borderId="0" xfId="0" applyNumberFormat="1" applyFont="1" applyFill="1" applyAlignment="1">
      <alignment wrapText="1"/>
    </xf>
    <xf numFmtId="167" fontId="19" fillId="16" borderId="0" xfId="0" applyNumberFormat="1" applyFont="1" applyFill="1" applyAlignment="1">
      <alignment wrapText="1"/>
    </xf>
    <xf numFmtId="167" fontId="19" fillId="17" borderId="0" xfId="0" applyNumberFormat="1" applyFont="1" applyFill="1" applyAlignment="1">
      <alignment wrapText="1"/>
    </xf>
    <xf numFmtId="167" fontId="19" fillId="18" borderId="0" xfId="0" applyNumberFormat="1" applyFont="1" applyFill="1" applyAlignment="1">
      <alignment wrapText="1"/>
    </xf>
    <xf numFmtId="167" fontId="19" fillId="27" borderId="0" xfId="0" applyNumberFormat="1" applyFont="1" applyFill="1" applyAlignment="1">
      <alignment wrapText="1"/>
    </xf>
    <xf numFmtId="167" fontId="19" fillId="24" borderId="0" xfId="0" applyNumberFormat="1" applyFont="1" applyFill="1" applyAlignment="1">
      <alignment wrapText="1"/>
    </xf>
    <xf numFmtId="167" fontId="19" fillId="21" borderId="0" xfId="0" applyNumberFormat="1" applyFont="1" applyFill="1" applyAlignment="1">
      <alignment wrapText="1"/>
    </xf>
    <xf numFmtId="0" fontId="19" fillId="0" borderId="0" xfId="0" applyFont="1" applyAlignment="1">
      <alignment wrapText="1"/>
    </xf>
    <xf numFmtId="0" fontId="16" fillId="0" borderId="0" xfId="0" applyFont="1" applyAlignment="1">
      <alignment wrapText="1"/>
    </xf>
    <xf numFmtId="0" fontId="17" fillId="0" borderId="0" xfId="0" applyFont="1" applyAlignment="1">
      <alignment wrapText="1"/>
    </xf>
    <xf numFmtId="166" fontId="0" fillId="0" borderId="0" xfId="0" applyNumberFormat="1" applyAlignment="1">
      <alignment wrapText="1"/>
    </xf>
    <xf numFmtId="167" fontId="19" fillId="31" borderId="0" xfId="0" applyNumberFormat="1" applyFont="1" applyFill="1" applyAlignment="1">
      <alignment wrapText="1"/>
    </xf>
    <xf numFmtId="167" fontId="0" fillId="32" borderId="0" xfId="0" applyNumberFormat="1" applyFill="1"/>
    <xf numFmtId="2" fontId="0" fillId="30" borderId="0" xfId="0" applyNumberFormat="1" applyFill="1"/>
    <xf numFmtId="169" fontId="0" fillId="0" borderId="0" xfId="0" applyNumberFormat="1"/>
    <xf numFmtId="0" fontId="20" fillId="0" borderId="0" xfId="0" applyFont="1"/>
    <xf numFmtId="1" fontId="5" fillId="0" borderId="3" xfId="1" applyNumberFormat="1" applyFont="1" applyBorder="1" applyAlignment="1">
      <alignment horizontal="center" vertical="center" wrapText="1"/>
    </xf>
    <xf numFmtId="43" fontId="0" fillId="0" borderId="0" xfId="0" applyNumberFormat="1" applyAlignment="1">
      <alignment wrapText="1"/>
    </xf>
    <xf numFmtId="2" fontId="5" fillId="0" borderId="11" xfId="1" applyNumberFormat="1" applyFont="1" applyBorder="1" applyAlignment="1">
      <alignment horizontal="center" vertical="top" wrapText="1"/>
    </xf>
    <xf numFmtId="49" fontId="5" fillId="0" borderId="16" xfId="1" applyNumberFormat="1" applyFont="1" applyBorder="1" applyAlignment="1">
      <alignment horizontal="center" vertical="top" wrapText="1"/>
    </xf>
    <xf numFmtId="0" fontId="19" fillId="0" borderId="0" xfId="0" applyFont="1"/>
    <xf numFmtId="0" fontId="0" fillId="11" borderId="0" xfId="0" applyFill="1"/>
    <xf numFmtId="167" fontId="0" fillId="11" borderId="0" xfId="0" applyNumberFormat="1" applyFill="1"/>
    <xf numFmtId="0" fontId="0" fillId="12" borderId="0" xfId="0" applyFill="1"/>
    <xf numFmtId="167" fontId="0" fillId="12" borderId="0" xfId="0" applyNumberFormat="1" applyFill="1"/>
    <xf numFmtId="0" fontId="0" fillId="19" borderId="0" xfId="0" applyFill="1"/>
    <xf numFmtId="167" fontId="0" fillId="19" borderId="0" xfId="0" applyNumberFormat="1" applyFill="1"/>
    <xf numFmtId="0" fontId="0" fillId="20" borderId="0" xfId="0" applyFill="1"/>
    <xf numFmtId="167" fontId="0" fillId="20" borderId="0" xfId="0" applyNumberFormat="1" applyFill="1"/>
    <xf numFmtId="0" fontId="0" fillId="28" borderId="0" xfId="0" applyFill="1"/>
    <xf numFmtId="167" fontId="0" fillId="28" borderId="0" xfId="0" applyNumberFormat="1" applyFill="1"/>
    <xf numFmtId="0" fontId="0" fillId="25" borderId="0" xfId="0" applyFill="1"/>
    <xf numFmtId="0" fontId="0" fillId="29" borderId="0" xfId="0" applyFill="1"/>
    <xf numFmtId="0" fontId="0" fillId="26" borderId="0" xfId="0" applyFill="1"/>
    <xf numFmtId="0" fontId="0" fillId="22" borderId="0" xfId="0" applyFill="1"/>
    <xf numFmtId="0" fontId="0" fillId="23" borderId="0" xfId="0" applyFill="1"/>
    <xf numFmtId="0" fontId="0" fillId="32" borderId="0" xfId="0" applyFill="1"/>
    <xf numFmtId="0" fontId="0" fillId="33" borderId="0" xfId="0" applyFill="1"/>
    <xf numFmtId="167" fontId="0" fillId="33" borderId="0" xfId="0" applyNumberFormat="1" applyFill="1"/>
    <xf numFmtId="0" fontId="0" fillId="15" borderId="0" xfId="0" applyFill="1"/>
    <xf numFmtId="167" fontId="0" fillId="15" borderId="0" xfId="0" applyNumberFormat="1" applyFill="1"/>
    <xf numFmtId="0" fontId="0" fillId="14" borderId="0" xfId="0" applyFill="1"/>
    <xf numFmtId="167" fontId="0" fillId="14" borderId="0" xfId="0" applyNumberFormat="1" applyFill="1"/>
    <xf numFmtId="49" fontId="5" fillId="0" borderId="15" xfId="1" applyNumberFormat="1" applyFont="1" applyBorder="1" applyAlignment="1">
      <alignment horizontal="center" vertical="top" wrapText="1"/>
    </xf>
    <xf numFmtId="0" fontId="21" fillId="0" borderId="0" xfId="0" applyFont="1"/>
    <xf numFmtId="43" fontId="21" fillId="0" borderId="0" xfId="0" applyNumberFormat="1" applyFont="1"/>
    <xf numFmtId="0" fontId="7" fillId="0" borderId="0" xfId="0" applyFont="1"/>
    <xf numFmtId="1" fontId="5" fillId="0" borderId="11" xfId="1" applyNumberFormat="1" applyFont="1" applyBorder="1" applyAlignment="1">
      <alignment horizontal="center" vertical="center" wrapText="1"/>
    </xf>
    <xf numFmtId="165" fontId="4" fillId="4" borderId="9" xfId="1" applyNumberFormat="1" applyFont="1" applyFill="1" applyBorder="1" applyAlignment="1">
      <alignment horizontal="center" vertical="top" wrapText="1"/>
    </xf>
    <xf numFmtId="165" fontId="5" fillId="0" borderId="1" xfId="1" applyNumberFormat="1" applyFont="1" applyBorder="1" applyAlignment="1">
      <alignment horizontal="center" vertical="top" wrapText="1"/>
    </xf>
    <xf numFmtId="165" fontId="5" fillId="0" borderId="1" xfId="1" applyNumberFormat="1" applyFont="1" applyBorder="1" applyAlignment="1">
      <alignment vertical="top" wrapText="1"/>
    </xf>
    <xf numFmtId="0" fontId="0" fillId="30" borderId="0" xfId="0" applyFill="1" applyAlignment="1">
      <alignment horizontal="left"/>
    </xf>
    <xf numFmtId="49" fontId="4" fillId="2" borderId="15" xfId="1" applyNumberFormat="1" applyFont="1" applyFill="1" applyBorder="1" applyAlignment="1">
      <alignment vertical="top" wrapText="1"/>
    </xf>
    <xf numFmtId="49" fontId="4" fillId="0" borderId="7" xfId="1" applyNumberFormat="1" applyFont="1" applyBorder="1" applyAlignment="1">
      <alignment horizontal="center" vertical="top" wrapText="1"/>
    </xf>
    <xf numFmtId="49" fontId="4" fillId="2" borderId="10" xfId="1" applyNumberFormat="1" applyFont="1" applyFill="1" applyBorder="1" applyAlignment="1">
      <alignment vertical="top" wrapText="1"/>
    </xf>
    <xf numFmtId="49" fontId="5" fillId="8" borderId="4" xfId="1" applyNumberFormat="1" applyFont="1" applyFill="1" applyBorder="1" applyAlignment="1">
      <alignment vertical="top" wrapText="1"/>
    </xf>
    <xf numFmtId="1" fontId="5" fillId="0" borderId="4" xfId="1" applyNumberFormat="1" applyFont="1" applyBorder="1" applyAlignment="1">
      <alignment horizontal="center" vertical="center" wrapText="1"/>
    </xf>
    <xf numFmtId="49" fontId="5" fillId="0" borderId="4" xfId="1" applyNumberFormat="1" applyFont="1" applyBorder="1" applyAlignment="1">
      <alignment vertical="top" wrapText="1"/>
    </xf>
    <xf numFmtId="49" fontId="4" fillId="4" borderId="12" xfId="1" applyNumberFormat="1" applyFont="1" applyFill="1" applyBorder="1" applyAlignment="1">
      <alignment vertical="top" wrapText="1"/>
    </xf>
    <xf numFmtId="49" fontId="4" fillId="0" borderId="20" xfId="1" applyNumberFormat="1" applyFont="1" applyBorder="1" applyAlignment="1">
      <alignment vertical="top" wrapText="1"/>
    </xf>
    <xf numFmtId="49" fontId="4" fillId="4" borderId="15" xfId="1" applyNumberFormat="1" applyFont="1" applyFill="1" applyBorder="1" applyAlignment="1">
      <alignment vertical="top" wrapText="1"/>
    </xf>
    <xf numFmtId="49" fontId="4" fillId="7" borderId="17" xfId="1" applyNumberFormat="1" applyFont="1" applyFill="1" applyBorder="1" applyAlignment="1">
      <alignment vertical="top" wrapText="1"/>
    </xf>
    <xf numFmtId="49" fontId="9" fillId="0" borderId="2" xfId="1" applyNumberFormat="1" applyFont="1" applyBorder="1" applyAlignment="1">
      <alignment vertical="top" wrapText="1"/>
    </xf>
    <xf numFmtId="49" fontId="5" fillId="0" borderId="15" xfId="1" applyNumberFormat="1" applyFont="1" applyBorder="1" applyAlignment="1">
      <alignment horizontal="center" vertical="center" wrapText="1"/>
    </xf>
    <xf numFmtId="49" fontId="4" fillId="0" borderId="15" xfId="1" applyNumberFormat="1" applyFont="1" applyBorder="1" applyAlignment="1">
      <alignment horizontal="center" vertical="top" wrapText="1"/>
    </xf>
    <xf numFmtId="49" fontId="5" fillId="0" borderId="15" xfId="1" applyNumberFormat="1" applyFont="1" applyBorder="1" applyAlignment="1">
      <alignment vertical="top" wrapText="1"/>
    </xf>
    <xf numFmtId="49" fontId="10" fillId="0" borderId="10" xfId="1" applyNumberFormat="1" applyFont="1" applyBorder="1" applyAlignment="1">
      <alignment vertical="top" wrapText="1"/>
    </xf>
    <xf numFmtId="1" fontId="5" fillId="0" borderId="25" xfId="1" applyNumberFormat="1" applyFont="1" applyBorder="1" applyAlignment="1">
      <alignment horizontal="center" vertical="center" wrapText="1"/>
    </xf>
    <xf numFmtId="9" fontId="5" fillId="0" borderId="25" xfId="3" applyFont="1" applyBorder="1" applyAlignment="1">
      <alignment horizontal="center" wrapText="1"/>
    </xf>
    <xf numFmtId="49" fontId="5" fillId="40" borderId="5" xfId="1" applyNumberFormat="1" applyFont="1" applyFill="1" applyBorder="1" applyAlignment="1">
      <alignment horizontal="center" vertical="top" wrapText="1"/>
    </xf>
    <xf numFmtId="49" fontId="12" fillId="40" borderId="5" xfId="1" applyNumberFormat="1" applyFill="1" applyBorder="1"/>
    <xf numFmtId="49" fontId="12" fillId="40" borderId="2" xfId="1" applyNumberFormat="1" applyFill="1" applyBorder="1"/>
    <xf numFmtId="0" fontId="12" fillId="0" borderId="0" xfId="1"/>
    <xf numFmtId="168" fontId="22" fillId="30" borderId="26" xfId="0" applyNumberFormat="1" applyFont="1" applyFill="1" applyBorder="1"/>
    <xf numFmtId="170" fontId="0" fillId="0" borderId="0" xfId="0" applyNumberFormat="1"/>
    <xf numFmtId="1" fontId="0" fillId="30" borderId="0" xfId="0" applyNumberFormat="1" applyFill="1"/>
    <xf numFmtId="167" fontId="0" fillId="26" borderId="0" xfId="0" applyNumberFormat="1" applyFill="1" applyAlignment="1">
      <alignment horizontal="right"/>
    </xf>
    <xf numFmtId="0" fontId="16" fillId="0" borderId="0" xfId="0" applyFont="1"/>
    <xf numFmtId="0" fontId="23" fillId="0" borderId="0" xfId="0" applyFont="1"/>
    <xf numFmtId="0" fontId="24" fillId="0" borderId="0" xfId="0" applyFont="1"/>
    <xf numFmtId="0" fontId="1" fillId="37" borderId="0" xfId="9" applyFont="1"/>
    <xf numFmtId="167" fontId="1" fillId="37" borderId="0" xfId="9" applyNumberFormat="1" applyFont="1"/>
    <xf numFmtId="167" fontId="1" fillId="36" borderId="0" xfId="8" applyNumberFormat="1" applyFont="1"/>
    <xf numFmtId="0" fontId="1" fillId="35" borderId="0" xfId="7" applyFont="1" applyAlignment="1">
      <alignment wrapText="1"/>
    </xf>
    <xf numFmtId="167" fontId="1" fillId="35" borderId="0" xfId="7" applyNumberFormat="1" applyFont="1"/>
    <xf numFmtId="0" fontId="1" fillId="34" borderId="0" xfId="6" applyFont="1"/>
    <xf numFmtId="167" fontId="1" fillId="34" borderId="0" xfId="6" applyNumberFormat="1" applyFont="1"/>
    <xf numFmtId="0" fontId="1" fillId="39" borderId="0" xfId="11" applyFont="1" applyAlignment="1">
      <alignment wrapText="1"/>
    </xf>
    <xf numFmtId="167" fontId="1" fillId="39" borderId="0" xfId="11" applyNumberFormat="1" applyFont="1"/>
    <xf numFmtId="0" fontId="1" fillId="38" borderId="0" xfId="10" applyFont="1"/>
    <xf numFmtId="167" fontId="1" fillId="38" borderId="0" xfId="10" applyNumberFormat="1" applyFont="1"/>
    <xf numFmtId="167" fontId="11" fillId="15" borderId="0" xfId="0" applyNumberFormat="1" applyFont="1" applyFill="1" applyAlignment="1">
      <alignment wrapText="1"/>
    </xf>
    <xf numFmtId="167" fontId="11" fillId="14" borderId="0" xfId="0" applyNumberFormat="1" applyFont="1" applyFill="1" applyAlignment="1">
      <alignment wrapText="1"/>
    </xf>
    <xf numFmtId="167" fontId="11" fillId="11" borderId="0" xfId="0" applyNumberFormat="1" applyFont="1" applyFill="1" applyAlignment="1">
      <alignment wrapText="1"/>
    </xf>
    <xf numFmtId="167" fontId="11" fillId="12" borderId="0" xfId="0" applyNumberFormat="1" applyFont="1" applyFill="1" applyAlignment="1">
      <alignment wrapText="1"/>
    </xf>
    <xf numFmtId="167" fontId="11" fillId="19" borderId="0" xfId="0" applyNumberFormat="1" applyFont="1" applyFill="1" applyAlignment="1">
      <alignment wrapText="1"/>
    </xf>
    <xf numFmtId="167" fontId="11" fillId="20" borderId="0" xfId="0" applyNumberFormat="1" applyFont="1" applyFill="1" applyAlignment="1">
      <alignment wrapText="1"/>
    </xf>
    <xf numFmtId="167" fontId="11" fillId="28" borderId="0" xfId="0" applyNumberFormat="1" applyFont="1" applyFill="1" applyAlignment="1">
      <alignment wrapText="1"/>
    </xf>
    <xf numFmtId="167" fontId="11" fillId="29" borderId="0" xfId="0" applyNumberFormat="1" applyFont="1" applyFill="1" applyAlignment="1">
      <alignment wrapText="1"/>
    </xf>
    <xf numFmtId="167" fontId="11" fillId="32" borderId="0" xfId="0" applyNumberFormat="1" applyFont="1" applyFill="1"/>
    <xf numFmtId="167" fontId="11" fillId="25" borderId="0" xfId="0" applyNumberFormat="1" applyFont="1" applyFill="1"/>
    <xf numFmtId="167" fontId="11" fillId="26" borderId="0" xfId="0" applyNumberFormat="1" applyFont="1" applyFill="1"/>
    <xf numFmtId="167" fontId="11" fillId="22" borderId="0" xfId="0" applyNumberFormat="1" applyFont="1" applyFill="1"/>
    <xf numFmtId="167" fontId="11" fillId="23" borderId="0" xfId="0" applyNumberFormat="1" applyFont="1" applyFill="1"/>
    <xf numFmtId="0" fontId="11" fillId="26" borderId="0" xfId="0" applyFont="1" applyFill="1"/>
    <xf numFmtId="0" fontId="19" fillId="19" borderId="0" xfId="0" applyFont="1" applyFill="1" applyAlignment="1">
      <alignment wrapText="1"/>
    </xf>
    <xf numFmtId="169" fontId="0" fillId="19" borderId="0" xfId="0" applyNumberFormat="1" applyFill="1"/>
    <xf numFmtId="43" fontId="0" fillId="19" borderId="0" xfId="0" applyNumberFormat="1" applyFill="1"/>
    <xf numFmtId="9" fontId="0" fillId="19" borderId="0" xfId="0" applyNumberFormat="1" applyFill="1"/>
    <xf numFmtId="0" fontId="7" fillId="20" borderId="0" xfId="0" applyFont="1" applyFill="1" applyAlignment="1">
      <alignment wrapText="1"/>
    </xf>
    <xf numFmtId="9" fontId="0" fillId="0" borderId="0" xfId="3" applyFont="1"/>
    <xf numFmtId="0" fontId="7" fillId="20" borderId="0" xfId="0" applyFont="1" applyFill="1"/>
    <xf numFmtId="167" fontId="0" fillId="11" borderId="0" xfId="0" applyNumberFormat="1" applyFill="1" applyAlignment="1">
      <alignment horizontal="center" vertical="center"/>
    </xf>
    <xf numFmtId="167" fontId="0" fillId="12" borderId="0" xfId="0" applyNumberFormat="1" applyFill="1" applyAlignment="1">
      <alignment horizontal="center" vertical="center"/>
    </xf>
    <xf numFmtId="171" fontId="0" fillId="29" borderId="0" xfId="0" applyNumberFormat="1" applyFill="1"/>
    <xf numFmtId="0" fontId="11" fillId="0" borderId="0" xfId="0" applyFont="1"/>
    <xf numFmtId="168" fontId="11" fillId="0" borderId="0" xfId="0" applyNumberFormat="1" applyFont="1"/>
    <xf numFmtId="0" fontId="11" fillId="19" borderId="0" xfId="0" applyFont="1" applyFill="1" applyAlignment="1">
      <alignment horizontal="center"/>
    </xf>
    <xf numFmtId="167" fontId="11" fillId="0" borderId="0" xfId="0" applyNumberFormat="1" applyFont="1" applyAlignment="1">
      <alignment vertical="top" wrapText="1"/>
    </xf>
    <xf numFmtId="167" fontId="11" fillId="0" borderId="0" xfId="0" applyNumberFormat="1" applyFont="1" applyAlignment="1">
      <alignment wrapText="1"/>
    </xf>
    <xf numFmtId="0" fontId="25" fillId="0" borderId="0" xfId="0" applyFont="1"/>
    <xf numFmtId="164" fontId="0" fillId="0" borderId="0" xfId="0" applyNumberFormat="1"/>
    <xf numFmtId="0" fontId="29" fillId="0" borderId="0" xfId="0" applyFont="1"/>
    <xf numFmtId="168" fontId="0" fillId="19" borderId="0" xfId="0" applyNumberFormat="1" applyFill="1"/>
    <xf numFmtId="168" fontId="0" fillId="0" borderId="0" xfId="3" applyNumberFormat="1" applyFont="1"/>
    <xf numFmtId="49" fontId="19" fillId="41" borderId="0" xfId="0" applyNumberFormat="1" applyFont="1" applyFill="1" applyAlignment="1">
      <alignment horizontal="center"/>
    </xf>
    <xf numFmtId="49" fontId="11" fillId="30" borderId="0" xfId="0" applyNumberFormat="1" applyFont="1" applyFill="1" applyAlignment="1">
      <alignment horizontal="center"/>
    </xf>
    <xf numFmtId="172" fontId="0" fillId="0" borderId="0" xfId="0" applyNumberFormat="1"/>
    <xf numFmtId="0" fontId="28" fillId="0" borderId="0" xfId="0" applyFont="1"/>
    <xf numFmtId="173" fontId="0" fillId="0" borderId="0" xfId="0" applyNumberFormat="1"/>
    <xf numFmtId="43" fontId="0" fillId="26" borderId="0" xfId="0" applyNumberFormat="1" applyFill="1"/>
    <xf numFmtId="43" fontId="0" fillId="23" borderId="0" xfId="0" applyNumberFormat="1" applyFill="1"/>
    <xf numFmtId="43" fontId="0" fillId="33" borderId="0" xfId="0" applyNumberFormat="1" applyFill="1"/>
    <xf numFmtId="43" fontId="0" fillId="14" borderId="0" xfId="0" applyNumberFormat="1" applyFill="1"/>
    <xf numFmtId="43" fontId="0" fillId="20" borderId="0" xfId="0" applyNumberFormat="1" applyFill="1"/>
    <xf numFmtId="167" fontId="11" fillId="12" borderId="0" xfId="0" applyNumberFormat="1" applyFont="1" applyFill="1"/>
    <xf numFmtId="167" fontId="19" fillId="11" borderId="0" xfId="0" applyNumberFormat="1" applyFont="1" applyFill="1" applyAlignment="1">
      <alignment wrapText="1"/>
    </xf>
    <xf numFmtId="43" fontId="0" fillId="11" borderId="0" xfId="0" applyNumberFormat="1" applyFill="1"/>
    <xf numFmtId="43" fontId="0" fillId="12" borderId="0" xfId="0" applyNumberFormat="1" applyFill="1"/>
    <xf numFmtId="43" fontId="0" fillId="28" borderId="0" xfId="0" applyNumberFormat="1" applyFill="1"/>
    <xf numFmtId="43" fontId="0" fillId="29" borderId="0" xfId="0" applyNumberFormat="1" applyFill="1"/>
    <xf numFmtId="43" fontId="0" fillId="25" borderId="0" xfId="0" applyNumberFormat="1" applyFill="1"/>
    <xf numFmtId="43" fontId="0" fillId="22" borderId="0" xfId="0" applyNumberFormat="1" applyFill="1"/>
    <xf numFmtId="43" fontId="0" fillId="32" borderId="0" xfId="0" applyNumberFormat="1" applyFill="1"/>
    <xf numFmtId="43" fontId="0" fillId="15" borderId="0" xfId="0" applyNumberFormat="1" applyFill="1"/>
    <xf numFmtId="169" fontId="0" fillId="26" borderId="0" xfId="0" applyNumberFormat="1" applyFill="1"/>
    <xf numFmtId="169" fontId="0" fillId="25" borderId="0" xfId="0" applyNumberFormat="1" applyFill="1"/>
    <xf numFmtId="169" fontId="0" fillId="28" borderId="0" xfId="0" applyNumberFormat="1" applyFill="1"/>
    <xf numFmtId="169" fontId="0" fillId="29" borderId="0" xfId="0" applyNumberFormat="1" applyFill="1"/>
    <xf numFmtId="167" fontId="0" fillId="20" borderId="0" xfId="0" applyNumberFormat="1" applyFill="1" applyAlignment="1">
      <alignment horizontal="center"/>
    </xf>
    <xf numFmtId="0" fontId="1" fillId="20" borderId="0" xfId="10" applyFont="1" applyFill="1"/>
    <xf numFmtId="167" fontId="1" fillId="20" borderId="0" xfId="10" applyNumberFormat="1" applyFont="1" applyFill="1"/>
    <xf numFmtId="0" fontId="34" fillId="0" borderId="0" xfId="0" applyFont="1" applyAlignment="1">
      <alignment wrapText="1"/>
    </xf>
    <xf numFmtId="1" fontId="0" fillId="0" borderId="0" xfId="0" applyNumberFormat="1"/>
    <xf numFmtId="43" fontId="0" fillId="30" borderId="0" xfId="0" applyNumberFormat="1" applyFill="1"/>
    <xf numFmtId="167" fontId="0" fillId="30" borderId="0" xfId="0" applyNumberFormat="1" applyFill="1"/>
    <xf numFmtId="0" fontId="0" fillId="13" borderId="0" xfId="0" applyFill="1"/>
    <xf numFmtId="43" fontId="0" fillId="13" borderId="0" xfId="0" applyNumberFormat="1" applyFill="1"/>
    <xf numFmtId="167" fontId="0" fillId="13" borderId="0" xfId="0" applyNumberFormat="1" applyFill="1"/>
    <xf numFmtId="174" fontId="0" fillId="0" borderId="0" xfId="0" applyNumberFormat="1"/>
    <xf numFmtId="0" fontId="8" fillId="0" borderId="7" xfId="0" applyFont="1" applyBorder="1" applyAlignment="1">
      <alignment horizontal="center" vertical="top" wrapText="1"/>
    </xf>
    <xf numFmtId="0" fontId="8" fillId="0" borderId="10" xfId="0" applyFont="1" applyBorder="1" applyAlignment="1">
      <alignment horizontal="center" vertical="top" wrapText="1"/>
    </xf>
    <xf numFmtId="0" fontId="8" fillId="0" borderId="3" xfId="0" applyFont="1" applyBorder="1" applyAlignment="1">
      <alignment horizontal="center" vertical="top" wrapText="1"/>
    </xf>
    <xf numFmtId="49" fontId="9" fillId="0" borderId="8" xfId="1" applyNumberFormat="1" applyFont="1" applyBorder="1" applyAlignment="1">
      <alignment horizontal="center" vertical="top" wrapText="1"/>
    </xf>
    <xf numFmtId="49" fontId="9" fillId="0" borderId="15" xfId="1" applyNumberFormat="1" applyFont="1" applyBorder="1" applyAlignment="1">
      <alignment horizontal="center" vertical="top" wrapText="1"/>
    </xf>
    <xf numFmtId="49" fontId="9" fillId="0" borderId="9" xfId="1" applyNumberFormat="1" applyFont="1" applyBorder="1" applyAlignment="1">
      <alignment horizontal="center" vertical="top" wrapText="1"/>
    </xf>
    <xf numFmtId="0" fontId="8" fillId="0" borderId="8" xfId="0" applyFont="1" applyBorder="1" applyAlignment="1">
      <alignment horizontal="center" vertical="top" wrapText="1"/>
    </xf>
    <xf numFmtId="0" fontId="8" fillId="0" borderId="15" xfId="0" applyFont="1" applyBorder="1" applyAlignment="1">
      <alignment horizontal="center" vertical="top" wrapText="1"/>
    </xf>
    <xf numFmtId="0" fontId="8" fillId="0" borderId="9" xfId="0" applyFont="1" applyBorder="1" applyAlignment="1">
      <alignment horizontal="center" vertical="top" wrapText="1"/>
    </xf>
    <xf numFmtId="49" fontId="5" fillId="0" borderId="8" xfId="1" applyNumberFormat="1" applyFont="1" applyBorder="1" applyAlignment="1">
      <alignment horizontal="center" vertical="top" wrapText="1"/>
    </xf>
    <xf numFmtId="49" fontId="5" fillId="0" borderId="15" xfId="1" applyNumberFormat="1" applyFont="1" applyBorder="1" applyAlignment="1">
      <alignment horizontal="center" vertical="top" wrapText="1"/>
    </xf>
    <xf numFmtId="49" fontId="5" fillId="0" borderId="9" xfId="1" applyNumberFormat="1" applyFont="1" applyBorder="1" applyAlignment="1">
      <alignment horizontal="center" vertical="top" wrapText="1"/>
    </xf>
    <xf numFmtId="49" fontId="4" fillId="8" borderId="7" xfId="1" applyNumberFormat="1" applyFont="1" applyFill="1" applyBorder="1" applyAlignment="1">
      <alignment horizontal="left" vertical="top" wrapText="1"/>
    </xf>
    <xf numFmtId="49" fontId="4" fillId="8" borderId="3" xfId="1" applyNumberFormat="1" applyFont="1" applyFill="1" applyBorder="1" applyAlignment="1">
      <alignment horizontal="left" vertical="top" wrapText="1"/>
    </xf>
    <xf numFmtId="49" fontId="5" fillId="0" borderId="8" xfId="1" applyNumberFormat="1" applyFont="1" applyBorder="1" applyAlignment="1">
      <alignment horizontal="left" vertical="top" wrapText="1"/>
    </xf>
    <xf numFmtId="49" fontId="5" fillId="0" borderId="9" xfId="1" applyNumberFormat="1" applyFont="1" applyBorder="1" applyAlignment="1">
      <alignment horizontal="left" vertical="top" wrapText="1"/>
    </xf>
    <xf numFmtId="49" fontId="4" fillId="9" borderId="13" xfId="1" applyNumberFormat="1" applyFont="1" applyFill="1" applyBorder="1" applyAlignment="1">
      <alignment horizontal="center" vertical="top" wrapText="1"/>
    </xf>
    <xf numFmtId="49" fontId="4" fillId="9" borderId="14" xfId="1" applyNumberFormat="1" applyFont="1" applyFill="1" applyBorder="1" applyAlignment="1">
      <alignment horizontal="center" vertical="top" wrapText="1"/>
    </xf>
    <xf numFmtId="49" fontId="4" fillId="9" borderId="12" xfId="1" applyNumberFormat="1" applyFont="1" applyFill="1" applyBorder="1" applyAlignment="1">
      <alignment horizontal="center" vertical="top" wrapText="1"/>
    </xf>
    <xf numFmtId="49" fontId="4" fillId="9" borderId="7" xfId="1" applyNumberFormat="1" applyFont="1" applyFill="1" applyBorder="1" applyAlignment="1">
      <alignment horizontal="center" vertical="top" wrapText="1"/>
    </xf>
    <xf numFmtId="49" fontId="4" fillId="9" borderId="10" xfId="1" applyNumberFormat="1" applyFont="1" applyFill="1" applyBorder="1" applyAlignment="1">
      <alignment horizontal="center" vertical="top" wrapText="1"/>
    </xf>
    <xf numFmtId="49" fontId="4" fillId="9" borderId="3" xfId="1" applyNumberFormat="1" applyFont="1" applyFill="1" applyBorder="1" applyAlignment="1">
      <alignment horizontal="center" vertical="top" wrapText="1"/>
    </xf>
    <xf numFmtId="49" fontId="27" fillId="40" borderId="4" xfId="1" applyNumberFormat="1" applyFont="1" applyFill="1" applyBorder="1" applyAlignment="1">
      <alignment horizontal="left" vertical="top" wrapText="1"/>
    </xf>
    <xf numFmtId="49" fontId="8" fillId="40" borderId="5" xfId="1" applyNumberFormat="1" applyFont="1" applyFill="1" applyBorder="1" applyAlignment="1">
      <alignment horizontal="left" vertical="top" wrapText="1"/>
    </xf>
    <xf numFmtId="49" fontId="8" fillId="40" borderId="2" xfId="1" applyNumberFormat="1" applyFont="1" applyFill="1" applyBorder="1" applyAlignment="1">
      <alignment horizontal="left" vertical="top" wrapText="1"/>
    </xf>
    <xf numFmtId="49" fontId="4" fillId="4" borderId="8" xfId="1" applyNumberFormat="1" applyFont="1" applyFill="1" applyBorder="1" applyAlignment="1">
      <alignment horizontal="center" vertical="top" wrapText="1"/>
    </xf>
    <xf numFmtId="49" fontId="4" fillId="4" borderId="15" xfId="1" applyNumberFormat="1" applyFont="1" applyFill="1" applyBorder="1" applyAlignment="1">
      <alignment horizontal="center" vertical="top" wrapText="1"/>
    </xf>
    <xf numFmtId="49" fontId="4" fillId="4" borderId="10" xfId="1" applyNumberFormat="1" applyFont="1" applyFill="1" applyBorder="1" applyAlignment="1">
      <alignment horizontal="center" vertical="top" wrapText="1"/>
    </xf>
    <xf numFmtId="49" fontId="5" fillId="10" borderId="4" xfId="1" applyNumberFormat="1" applyFont="1" applyFill="1" applyBorder="1" applyAlignment="1">
      <alignment horizontal="left" vertical="top" wrapText="1"/>
    </xf>
    <xf numFmtId="49" fontId="5" fillId="10" borderId="5" xfId="1" applyNumberFormat="1" applyFont="1" applyFill="1" applyBorder="1" applyAlignment="1">
      <alignment horizontal="left" vertical="top" wrapText="1"/>
    </xf>
    <xf numFmtId="49" fontId="5" fillId="10" borderId="2" xfId="1" applyNumberFormat="1" applyFont="1" applyFill="1" applyBorder="1" applyAlignment="1">
      <alignment horizontal="left" vertical="top" wrapText="1"/>
    </xf>
    <xf numFmtId="0" fontId="7" fillId="0" borderId="4" xfId="1" applyFont="1" applyBorder="1" applyAlignment="1">
      <alignment horizontal="center" vertical="top" wrapText="1"/>
    </xf>
    <xf numFmtId="0" fontId="12" fillId="0" borderId="5" xfId="1" applyBorder="1" applyAlignment="1">
      <alignment horizontal="center" vertical="top" wrapText="1"/>
    </xf>
    <xf numFmtId="49" fontId="5" fillId="10" borderId="12" xfId="1" applyNumberFormat="1" applyFont="1" applyFill="1" applyBorder="1" applyAlignment="1">
      <alignment horizontal="left" vertical="top" wrapText="1"/>
    </xf>
    <xf numFmtId="49" fontId="5" fillId="10" borderId="11" xfId="1" applyNumberFormat="1" applyFont="1" applyFill="1" applyBorder="1" applyAlignment="1">
      <alignment horizontal="left" vertical="top" wrapText="1"/>
    </xf>
    <xf numFmtId="49" fontId="5" fillId="10" borderId="3" xfId="1" applyNumberFormat="1" applyFont="1" applyFill="1" applyBorder="1" applyAlignment="1">
      <alignment horizontal="left" vertical="top" wrapText="1"/>
    </xf>
    <xf numFmtId="49" fontId="5" fillId="5" borderId="14" xfId="1" applyNumberFormat="1" applyFont="1" applyFill="1" applyBorder="1" applyAlignment="1">
      <alignment horizontal="left" vertical="top" wrapText="1"/>
    </xf>
    <xf numFmtId="49" fontId="5" fillId="5" borderId="0" xfId="1" applyNumberFormat="1" applyFont="1" applyFill="1" applyAlignment="1">
      <alignment horizontal="left" vertical="top" wrapText="1"/>
    </xf>
    <xf numFmtId="49" fontId="5" fillId="5" borderId="10" xfId="1" applyNumberFormat="1" applyFont="1" applyFill="1" applyBorder="1" applyAlignment="1">
      <alignment horizontal="left" vertical="top" wrapText="1"/>
    </xf>
    <xf numFmtId="49" fontId="5" fillId="0" borderId="4" xfId="1" applyNumberFormat="1" applyFont="1" applyBorder="1" applyAlignment="1">
      <alignment horizontal="left" vertical="top" wrapText="1"/>
    </xf>
    <xf numFmtId="49" fontId="5" fillId="0" borderId="5" xfId="1" applyNumberFormat="1" applyFont="1" applyBorder="1" applyAlignment="1">
      <alignment horizontal="left" vertical="top" wrapText="1"/>
    </xf>
    <xf numFmtId="49" fontId="5" fillId="0" borderId="2" xfId="1" applyNumberFormat="1" applyFont="1" applyBorder="1" applyAlignment="1">
      <alignment horizontal="left" vertical="top" wrapText="1"/>
    </xf>
    <xf numFmtId="49" fontId="5" fillId="40" borderId="5" xfId="1" applyNumberFormat="1" applyFont="1" applyFill="1" applyBorder="1" applyAlignment="1">
      <alignment horizontal="left" vertical="top" wrapText="1"/>
    </xf>
    <xf numFmtId="49" fontId="5" fillId="40" borderId="2" xfId="1" applyNumberFormat="1" applyFont="1" applyFill="1" applyBorder="1" applyAlignment="1">
      <alignment horizontal="left" vertical="top" wrapText="1"/>
    </xf>
    <xf numFmtId="49" fontId="4" fillId="4" borderId="21" xfId="1" applyNumberFormat="1" applyFont="1" applyFill="1" applyBorder="1" applyAlignment="1">
      <alignment horizontal="center" vertical="top" wrapText="1"/>
    </xf>
    <xf numFmtId="49" fontId="4" fillId="4" borderId="18" xfId="1" applyNumberFormat="1" applyFont="1" applyFill="1" applyBorder="1" applyAlignment="1">
      <alignment horizontal="center" vertical="top" wrapText="1"/>
    </xf>
    <xf numFmtId="49" fontId="4" fillId="4" borderId="19" xfId="1" applyNumberFormat="1" applyFont="1" applyFill="1" applyBorder="1" applyAlignment="1">
      <alignment horizontal="center" vertical="top" wrapText="1"/>
    </xf>
    <xf numFmtId="49" fontId="5" fillId="5" borderId="4" xfId="1" applyNumberFormat="1" applyFont="1" applyFill="1" applyBorder="1" applyAlignment="1">
      <alignment horizontal="left" vertical="top" wrapText="1"/>
    </xf>
    <xf numFmtId="49" fontId="5" fillId="5" borderId="5" xfId="1" applyNumberFormat="1" applyFont="1" applyFill="1" applyBorder="1" applyAlignment="1">
      <alignment horizontal="left" vertical="top" wrapText="1"/>
    </xf>
    <xf numFmtId="49" fontId="5" fillId="5" borderId="2" xfId="1" applyNumberFormat="1" applyFont="1" applyFill="1" applyBorder="1" applyAlignment="1">
      <alignment horizontal="left" vertical="top" wrapText="1"/>
    </xf>
    <xf numFmtId="49" fontId="4" fillId="4" borderId="9" xfId="1" applyNumberFormat="1" applyFont="1" applyFill="1" applyBorder="1" applyAlignment="1">
      <alignment horizontal="center" vertical="top" wrapText="1"/>
    </xf>
    <xf numFmtId="49" fontId="4" fillId="0" borderId="8" xfId="1" applyNumberFormat="1" applyFont="1" applyBorder="1" applyAlignment="1">
      <alignment vertical="top" wrapText="1"/>
    </xf>
    <xf numFmtId="49" fontId="4" fillId="0" borderId="15" xfId="1" applyNumberFormat="1" applyFont="1" applyBorder="1" applyAlignment="1">
      <alignment vertical="top" wrapText="1"/>
    </xf>
    <xf numFmtId="49" fontId="4" fillId="0" borderId="9" xfId="1" applyNumberFormat="1" applyFont="1" applyBorder="1" applyAlignment="1">
      <alignment vertical="top" wrapText="1"/>
    </xf>
    <xf numFmtId="0" fontId="5" fillId="0" borderId="22" xfId="1" quotePrefix="1" applyFont="1" applyBorder="1" applyAlignment="1">
      <alignment horizontal="left" vertical="top" wrapText="1"/>
    </xf>
    <xf numFmtId="0" fontId="5" fillId="0" borderId="23" xfId="1" quotePrefix="1" applyFont="1" applyBorder="1" applyAlignment="1">
      <alignment horizontal="left" vertical="top" wrapText="1"/>
    </xf>
    <xf numFmtId="0" fontId="5" fillId="0" borderId="24" xfId="1" quotePrefix="1" applyFont="1" applyBorder="1" applyAlignment="1">
      <alignment horizontal="left" vertical="top" wrapText="1"/>
    </xf>
    <xf numFmtId="49" fontId="14" fillId="0" borderId="13" xfId="2" applyNumberFormat="1" applyBorder="1" applyAlignment="1">
      <alignment horizontal="center" vertical="top" wrapText="1"/>
    </xf>
    <xf numFmtId="49" fontId="14" fillId="0" borderId="14" xfId="2" applyNumberFormat="1" applyBorder="1" applyAlignment="1">
      <alignment horizontal="center" vertical="top" wrapText="1"/>
    </xf>
    <xf numFmtId="0" fontId="29" fillId="0" borderId="0" xfId="0" applyFont="1" applyAlignment="1">
      <alignment horizontal="left" wrapText="1"/>
    </xf>
    <xf numFmtId="0" fontId="0" fillId="0" borderId="0" xfId="0" applyAlignment="1">
      <alignment horizontal="left" wrapText="1"/>
    </xf>
    <xf numFmtId="0" fontId="17" fillId="0" borderId="0" xfId="0" applyFont="1" applyAlignment="1">
      <alignment horizontal="left" wrapText="1"/>
    </xf>
    <xf numFmtId="0" fontId="0" fillId="14" borderId="0" xfId="0" applyFill="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43" fontId="19" fillId="41" borderId="0" xfId="0" applyNumberFormat="1" applyFont="1" applyFill="1" applyAlignment="1">
      <alignment horizontal="center"/>
    </xf>
    <xf numFmtId="49" fontId="11" fillId="30" borderId="0" xfId="0" applyNumberFormat="1" applyFont="1" applyFill="1" applyAlignment="1">
      <alignment horizontal="center"/>
    </xf>
    <xf numFmtId="0" fontId="29" fillId="0" borderId="0" xfId="0" applyFont="1" applyAlignment="1">
      <alignment horizontal="left" vertical="center" wrapText="1"/>
    </xf>
    <xf numFmtId="0" fontId="0" fillId="0" borderId="0" xfId="0" applyAlignment="1">
      <alignment horizontal="left" vertical="center" wrapText="1"/>
    </xf>
    <xf numFmtId="0" fontId="28" fillId="0" borderId="0" xfId="0" applyFont="1" applyAlignment="1">
      <alignment horizontal="left" wrapText="1"/>
    </xf>
  </cellXfs>
  <cellStyles count="12">
    <cellStyle name="20% - Accent1" xfId="6" builtinId="30"/>
    <cellStyle name="20% - Accent2" xfId="8" builtinId="34"/>
    <cellStyle name="20% - Accent3" xfId="10" builtinId="38"/>
    <cellStyle name="60% - Accent1" xfId="7" builtinId="32"/>
    <cellStyle name="60% - Accent2" xfId="9" builtinId="36"/>
    <cellStyle name="60% - Accent3" xfId="11" builtinId="40"/>
    <cellStyle name="Hyperlink" xfId="2" builtinId="8"/>
    <cellStyle name="Hyperlink 2" xfId="4" xr:uid="{447CE521-A0DE-4709-BBE0-FADA6F239AF1}"/>
    <cellStyle name="Normal" xfId="0" builtinId="0"/>
    <cellStyle name="Normal 2" xfId="1" xr:uid="{EA754012-680F-4A1D-9FCD-2CCCDAAD37E8}"/>
    <cellStyle name="Normal 3" xfId="5" xr:uid="{FF42A1F1-36D3-4D0C-A454-B193BFFE0C94}"/>
    <cellStyle name="Percent" xfId="3" builtinId="5"/>
  </cellStyles>
  <dxfs count="94">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5" tint="0.79998168889431442"/>
        </patternFill>
      </fill>
    </dxf>
    <dxf>
      <numFmt numFmtId="167" formatCode="_-* #,##0_-;\-* #,##0_-;_-* &quot;-&quot;??_-;_-@_-"/>
      <fill>
        <patternFill patternType="solid">
          <fgColor indexed="64"/>
          <bgColor theme="5" tint="0.79998168889431442"/>
        </patternFill>
      </fill>
    </dxf>
    <dxf>
      <font>
        <b/>
        <i val="0"/>
        <strike val="0"/>
        <condense val="0"/>
        <extend val="0"/>
        <outline val="0"/>
        <shadow val="0"/>
        <u val="none"/>
        <vertAlign val="baseline"/>
        <sz val="10"/>
        <color auto="1"/>
        <name val="Arial"/>
        <family val="2"/>
        <scheme val="none"/>
      </font>
      <fill>
        <patternFill patternType="solid">
          <fgColor indexed="64"/>
          <bgColor theme="8" tint="0.79998168889431442"/>
        </patternFill>
      </fill>
    </dxf>
    <dxf>
      <numFmt numFmtId="167" formatCode="_-* #,##0_-;\-* #,##0_-;_-* &quot;-&quot;??_-;_-@_-"/>
      <fill>
        <patternFill patternType="solid">
          <fgColor indexed="64"/>
          <bgColor theme="8" tint="0.79998168889431442"/>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8" tint="0.79998168889431442"/>
        </patternFill>
      </fill>
    </dxf>
    <dxf>
      <numFmt numFmtId="167" formatCode="_-* #,##0_-;\-* #,##0_-;_-* &quot;-&quot;??_-;_-@_-"/>
      <fill>
        <patternFill patternType="solid">
          <fgColor indexed="64"/>
          <bgColor theme="8" tint="0.79998168889431442"/>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9" tint="0.79998168889431442"/>
        </patternFill>
      </fill>
    </dxf>
    <dxf>
      <numFmt numFmtId="167" formatCode="_-* #,##0_-;\-* #,##0_-;_-* &quot;-&quot;??_-;_-@_-"/>
      <fill>
        <patternFill patternType="solid">
          <fgColor indexed="64"/>
          <bgColor theme="9"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9" tint="0.59999389629810485"/>
        </patternFill>
      </fill>
    </dxf>
    <dxf>
      <numFmt numFmtId="167" formatCode="_-* #,##0_-;\-* #,##0_-;_-* &quot;-&quot;??_-;_-@_-"/>
      <fill>
        <patternFill patternType="solid">
          <fgColor indexed="64"/>
          <bgColor theme="9" tint="0.59999389629810485"/>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79998168889431442"/>
        </patternFill>
      </fill>
    </dxf>
    <dxf>
      <numFmt numFmtId="167" formatCode="_-* #,##0_-;\-* #,##0_-;_-* &quot;-&quot;??_-;_-@_-"/>
      <fill>
        <patternFill patternType="solid">
          <fgColor indexed="64"/>
          <bgColor theme="8"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79998168889431442"/>
        </patternFill>
      </fill>
    </dxf>
    <dxf>
      <numFmt numFmtId="167" formatCode="_-* #,##0_-;\-* #,##0_-;_-* &quot;-&quot;??_-;_-@_-"/>
      <fill>
        <patternFill patternType="solid">
          <fgColor indexed="64"/>
          <bgColor theme="8"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79998168889431442"/>
        </patternFill>
      </fill>
    </dxf>
    <dxf>
      <numFmt numFmtId="167" formatCode="_-* #,##0_-;\-* #,##0_-;_-* &quot;-&quot;??_-;_-@_-"/>
      <fill>
        <patternFill patternType="solid">
          <fgColor indexed="64"/>
          <bgColor theme="8"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79998168889431442"/>
        </patternFill>
      </fill>
    </dxf>
    <dxf>
      <numFmt numFmtId="167" formatCode="_-* #,##0_-;\-* #,##0_-;_-* &quot;-&quot;??_-;_-@_-"/>
      <fill>
        <patternFill patternType="solid">
          <fgColor indexed="64"/>
          <bgColor theme="8"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79998168889431442"/>
        </patternFill>
      </fill>
    </dxf>
    <dxf>
      <numFmt numFmtId="167" formatCode="_-* #,##0_-;\-* #,##0_-;_-* &quot;-&quot;??_-;_-@_-"/>
      <fill>
        <patternFill patternType="solid">
          <fgColor indexed="64"/>
          <bgColor theme="8"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59999389629810485"/>
        </patternFill>
      </fill>
    </dxf>
    <dxf>
      <numFmt numFmtId="167" formatCode="_-* #,##0_-;\-* #,##0_-;_-* &quot;-&quot;??_-;_-@_-"/>
      <fill>
        <patternFill patternType="solid">
          <fgColor indexed="64"/>
          <bgColor theme="8" tint="0.59999389629810485"/>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59999389629810485"/>
        </patternFill>
      </fill>
    </dxf>
    <dxf>
      <numFmt numFmtId="167" formatCode="_-* #,##0_-;\-* #,##0_-;_-* &quot;-&quot;??_-;_-@_-"/>
      <fill>
        <patternFill patternType="solid">
          <fgColor indexed="64"/>
          <bgColor theme="8" tint="0.59999389629810485"/>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8" tint="0.59999389629810485"/>
        </patternFill>
      </fill>
    </dxf>
    <dxf>
      <numFmt numFmtId="167" formatCode="_-* #,##0_-;\-* #,##0_-;_-* &quot;-&quot;??_-;_-@_-"/>
      <fill>
        <patternFill patternType="solid">
          <fgColor indexed="64"/>
          <bgColor theme="8" tint="0.59999389629810485"/>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2" tint="-0.249977111117893"/>
        </patternFill>
      </fill>
    </dxf>
    <dxf>
      <numFmt numFmtId="167" formatCode="_-* #,##0_-;\-* #,##0_-;_-* &quot;-&quot;??_-;_-@_-"/>
      <fill>
        <patternFill patternType="solid">
          <fgColor indexed="64"/>
          <bgColor theme="2" tint="-0.249977111117893"/>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7"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7"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7"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7" tint="0.79998168889431442"/>
        </patternFill>
      </fill>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7"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7"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7"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7"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7" tint="0.59999389629810485"/>
        </patternFill>
      </fill>
      <alignment horizontal="general" vertical="bottom" textRotation="0" wrapText="1" indent="0" justifyLastLine="0" shrinkToFit="0" readingOrder="0"/>
    </dxf>
    <dxf>
      <numFmt numFmtId="167" formatCode="_-* #,##0_-;\-* #,##0_-;_-* &quot;-&quot;??_-;_-@_-"/>
      <fill>
        <patternFill patternType="solid">
          <fgColor indexed="64"/>
          <bgColor theme="7" tint="0.59999389629810485"/>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6"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6" tint="0.59999389629810485"/>
        </patternFill>
      </fill>
      <alignment horizontal="general" vertical="bottom" textRotation="0" wrapText="1" indent="0" justifyLastLine="0" shrinkToFit="0" readingOrder="0"/>
    </dxf>
    <dxf>
      <numFmt numFmtId="167" formatCode="_-* #,##0_-;\-* #,##0_-;_-* &quot;-&quot;??_-;_-@_-"/>
      <fill>
        <patternFill patternType="solid">
          <fgColor indexed="64"/>
          <bgColor theme="6" tint="0.59999389629810485"/>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5"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5"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5"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5"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5" tint="0.59999389629810485"/>
        </patternFill>
      </fill>
      <alignment horizontal="general" vertical="bottom" textRotation="0" wrapText="1" indent="0" justifyLastLine="0" shrinkToFit="0" readingOrder="0"/>
    </dxf>
    <dxf>
      <numFmt numFmtId="167" formatCode="_-* #,##0_-;\-* #,##0_-;_-* &quot;-&quot;??_-;_-@_-"/>
      <fill>
        <patternFill patternType="solid">
          <fgColor indexed="64"/>
          <bgColor theme="5" tint="0.59999389629810485"/>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3"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3"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3" tint="0.79998168889431442"/>
        </patternFill>
      </fill>
      <alignment horizontal="general" vertical="bottom" textRotation="0" wrapText="1" indent="0" justifyLastLine="0" shrinkToFit="0" readingOrder="0"/>
    </dxf>
    <dxf>
      <numFmt numFmtId="167" formatCode="_-* #,##0_-;\-* #,##0_-;_-* &quot;-&quot;??_-;_-@_-"/>
      <fill>
        <patternFill patternType="solid">
          <fgColor indexed="64"/>
          <bgColor theme="3"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_-* #,##0_-;\-* #,##0_-;_-* &quot;-&quot;??_-;_-@_-"/>
      <fill>
        <patternFill patternType="solid">
          <fgColor indexed="64"/>
          <bgColor theme="3" tint="0.59999389629810485"/>
        </patternFill>
      </fill>
      <alignment horizontal="general" vertical="bottom" textRotation="0" wrapText="1" indent="0" justifyLastLine="0" shrinkToFit="0" readingOrder="0"/>
    </dxf>
    <dxf>
      <numFmt numFmtId="167" formatCode="_-* #,##0_-;\-* #,##0_-;_-* &quot;-&quot;??_-;_-@_-"/>
      <fill>
        <patternFill patternType="solid">
          <fgColor indexed="64"/>
          <bgColor theme="3" tint="0.59999389629810485"/>
        </patternFill>
      </fill>
      <alignment horizontal="general" vertical="bottom" textRotation="0" wrapText="1" indent="0" justifyLastLine="0" shrinkToFit="0" readingOrder="0"/>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3" formatCode="0%"/>
      <fill>
        <patternFill patternType="solid">
          <fgColor indexed="64"/>
          <bgColor theme="0" tint="-4.9989318521683403E-2"/>
        </patternFill>
      </fill>
    </dxf>
    <dxf>
      <numFmt numFmtId="13" formatCode="0%"/>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numFmt numFmtId="168" formatCode="_-[$$-409]* #,##0_ ;_-[$$-409]* \-#,##0\ ;_-[$$-409]* &quot;-&quot;??_ ;_-@_ "/>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alignment horizontal="left" vertical="bottom" textRotation="0" wrapText="0"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alignment horizontal="left" vertical="bottom" textRotation="0" wrapText="0"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8" tint="0.79998168889431442"/>
        </patternFill>
      </fill>
    </dxf>
    <dxf>
      <font>
        <b/>
        <i val="0"/>
        <strike val="0"/>
        <condense val="0"/>
        <extend val="0"/>
        <outline val="0"/>
        <shadow val="0"/>
        <u val="none"/>
        <vertAlign val="baseline"/>
        <sz val="10"/>
        <color rgb="FF000000"/>
        <name val="Arial"/>
        <scheme val="none"/>
      </font>
      <numFmt numFmtId="167" formatCode="_-* #,##0_-;\-* #,##0_-;_-* &quot;-&quot;??_-;_-@_-"/>
      <fill>
        <patternFill patternType="solid">
          <fgColor indexed="64"/>
          <bgColor theme="8" tint="0.39997558519241921"/>
        </patternFill>
      </fill>
      <alignment horizontal="general" vertical="bottom" textRotation="0" wrapText="1" indent="0" justifyLastLine="0" shrinkToFit="0" readingOrder="0"/>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Charlie Makin" id="{DEDD87C7-7261-4F1D-9A72-38FEE3502C0B}" userId="S::Charlie.Makin@defra.gov.uk::db506a07-e168-4cca-810f-c74fa893011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7FEC19-36C4-4A74-A533-309191C99B85}" name="Table1" displayName="Table1" ref="A2:AT29" totalsRowCount="1" headerRowDxfId="93" dataDxfId="92">
  <autoFilter ref="A2:AT28" xr:uid="{237FEC19-36C4-4A74-A533-309191C99B85}"/>
  <tableColumns count="46">
    <tableColumn id="1" xr3:uid="{C1EC31AD-3200-4BCC-A6A2-6B1012BB056F}" name="Project" totalsRowFunction="custom" dataDxfId="91" totalsRowDxfId="90">
      <totalsRowFormula>"Count: "&amp;COUNTA(Table1[Project])&amp;" Projects"</totalsRowFormula>
    </tableColumn>
    <tableColumn id="2" xr3:uid="{30659C40-8139-4469-8FB1-AD2AF180FEB0}" name="Country(ies)" dataDxfId="89" totalsRowDxfId="88"/>
    <tableColumn id="44" xr3:uid="{98F0384E-EC32-4F46-B2CA-78D30E3ABF88}" name="Annual Review" dataDxfId="87" totalsRowDxfId="86"/>
    <tableColumn id="43" xr3:uid="{99FC8D12-F034-46D0-9929-C2EC01594226}" name="SIDS/LDC" dataDxfId="85" totalsRowDxfId="84"/>
    <tableColumn id="3" xr3:uid="{6F5FEA2D-8308-4490-AA8C-09C829458798}" name="Approval year" dataDxfId="83" totalsRowDxfId="82"/>
    <tableColumn id="4" xr3:uid="{19B16F01-F2BB-43F5-8DF9-19341BBDA25B}" name="Grant Cost (USD)" totalsRowFunction="custom" dataDxfId="81" totalsRowDxfId="80">
      <totalsRowFormula>SUM(Table1[Grant Cost (USD)])</totalsRowFormula>
    </tableColumn>
    <tableColumn id="5" xr3:uid="{79CBDDDE-B9FB-475C-86DE-9D44CC235079}" name="Agency Fee (USD)" totalsRowFunction="custom" dataDxfId="79" totalsRowDxfId="78">
      <totalsRowFormula>SUM(Table1[Agency Fee (USD)])</totalsRowFormula>
    </tableColumn>
    <tableColumn id="38" xr3:uid="{380045BA-23B7-45ED-A95F-6E9BAA8FDCAF}" name="PPG Amount (USD)" totalsRowFunction="custom" dataDxfId="77" totalsRowDxfId="76">
      <totalsRowFormula>SUM(Table1[PPG Amount (USD)])</totalsRowFormula>
    </tableColumn>
    <tableColumn id="40" xr3:uid="{C02A50F5-8F6C-4F5E-8B6A-1DFABE92DB01}" name="PPG Agency Fee" totalsRowFunction="custom" dataDxfId="75" totalsRowDxfId="74">
      <totalsRowFormula>SUM(Table1[PPG Agency Fee])</totalsRowFormula>
    </tableColumn>
    <tableColumn id="6" xr3:uid="{30079FA7-20F0-4913-8011-23A0593080CA}" name="Total GEF Cost" totalsRowFunction="custom" dataDxfId="73" totalsRowDxfId="72">
      <calculatedColumnFormula>SUM(F3:I3)</calculatedColumnFormula>
      <totalsRowFormula>SUM(Table1[Total GEF Cost])</totalsRowFormula>
    </tableColumn>
    <tableColumn id="7" xr3:uid="{19392003-D170-4627-AD26-75D6BC103CF6}" name="Cofinancing" totalsRowFunction="custom" dataDxfId="71" totalsRowDxfId="70">
      <totalsRowFormula>SUM(Table1[Cofinancing])</totalsRowFormula>
    </tableColumn>
    <tableColumn id="41" xr3:uid="{5811F63C-60CA-4DFF-919E-9FD8449B2B6E}" name="Of which private" totalsRowFunction="custom" dataDxfId="69" totalsRowDxfId="68">
      <totalsRowFormula>SUM(Table1[Of which private])</totalsRowFormula>
    </tableColumn>
    <tableColumn id="36" xr3:uid="{55FDDB88-6299-46F9-B358-3927A0C18512}" name="Of which public" totalsRowFunction="custom" dataDxfId="67" totalsRowDxfId="66">
      <calculatedColumnFormula>Table1[[#This Row],[Cofinancing]]-Table1[[#This Row],[Of which private]]</calculatedColumnFormula>
      <totalsRowFormula>SUM(Table1[Of which public])</totalsRowFormula>
    </tableColumn>
    <tableColumn id="37" xr3:uid="{0F85F250-EDD7-4789-8C97-B7F1F13902CA}" name="IPLC Financing" totalsRowFunction="custom" dataDxfId="65" totalsRowDxfId="64">
      <calculatedColumnFormula>Table1[[#This Row],[% IPLC]]*Table1[[#This Row],[Grant Cost (USD)]]</calculatedColumnFormula>
      <totalsRowFormula>SUM(Table1[IPLC Financing])</totalsRowFormula>
    </tableColumn>
    <tableColumn id="8" xr3:uid="{77AEA7E3-8EAF-42C6-8022-5838ABEA1ADB}" name="% IPLC" totalsRowFunction="custom" dataDxfId="63" totalsRowDxfId="62">
      <calculatedColumnFormula>Table1[[#This Row],[IPLC Financing]]/Table1[[#This Row],[Grant Cost (USD)]]</calculatedColumnFormula>
      <totalsRowFormula>SUMPRODUCT(Table1[% IPLC],Table1[Grant Cost (USD)])/SUM(Table1[Total GEF Cost])</totalsRowFormula>
    </tableColumn>
    <tableColumn id="42" xr3:uid="{2AF357E1-80F3-4CAC-9240-083C9D6A5AE5}" name="SIDS/LDC Finance" totalsRowFunction="custom" dataDxfId="61" totalsRowDxfId="60">
      <calculatedColumnFormula>Table1[[#This Row],[Grant Cost (USD)]]*Table1[[#This Row],[SIDS/LDC]]</calculatedColumnFormula>
      <totalsRowFormula>SUM(Table1[SIDS/LDC Finance])</totalsRowFormula>
    </tableColumn>
    <tableColumn id="9" xr3:uid="{0F7D9088-1642-46A4-BAF3-722C51F8294F}" name="1. Terrestrial protected areas created or under improved management (Ha)" totalsRowFunction="custom" dataDxfId="59" totalsRowDxfId="58">
      <totalsRowFormula>SUM(Table1[1. Terrestrial protected areas created or under improved management (Ha)])</totalsRowFormula>
    </tableColumn>
    <tableColumn id="10" xr3:uid="{7441786D-A7DE-49D8-A471-B6814E40F4B1}" name="1.1 Terrestiral Protected Areas Newly created (Ha)" totalsRowFunction="custom" dataDxfId="57" totalsRowDxfId="56">
      <totalsRowFormula>SUM(Table1[1.1 Terrestiral Protected Areas Newly created (Ha)])</totalsRowFormula>
    </tableColumn>
    <tableColumn id="11" xr3:uid="{3BAE2E16-7A0A-4C6B-9BCE-3CDADDB58B32}" name="1.2 Terrestrial Protected Areas Under Improved Management (Ha)" totalsRowFunction="custom" dataDxfId="55" totalsRowDxfId="54">
      <totalsRowFormula>SUM(Table1[1.2 Terrestrial Protected Areas Under Improved Management (Ha)])</totalsRowFormula>
    </tableColumn>
    <tableColumn id="12" xr3:uid="{77CA9E70-62B8-4286-9CCE-6CD3E3542FCB}" name="2. Marine protected areas created or under improved management (Ha)" totalsRowFunction="custom" dataDxfId="53" totalsRowDxfId="52">
      <totalsRowFormula>SUM(Table1[2. Marine protected areas created or under improved management (Ha)])</totalsRowFormula>
    </tableColumn>
    <tableColumn id="13" xr3:uid="{08294C66-F622-4A60-A212-528402261E31}" name="2.1 Marine Protected Areas Newly created (Ha)" totalsRowFunction="custom" dataDxfId="51" totalsRowDxfId="50">
      <totalsRowFormula>SUM(Table1[2.1 Marine Protected Areas Newly created (Ha)])</totalsRowFormula>
    </tableColumn>
    <tableColumn id="14" xr3:uid="{C6575AFD-404B-4E90-8539-0BD3D09C6E6B}" name="2.2 Marine Protected Areas Under improved management effectiveness" totalsRowFunction="custom" dataDxfId="49" totalsRowDxfId="48">
      <totalsRowFormula>SUM(Table1[2.2 Marine Protected Areas Under improved management effectiveness])</totalsRowFormula>
    </tableColumn>
    <tableColumn id="15" xr3:uid="{C7C221B9-68E1-4615-8B6B-880B9710497B}" name="3. Area of land and ecosystems under restoration" totalsRowFunction="custom" dataDxfId="47" totalsRowDxfId="46">
      <totalsRowFormula>SUM(Table1[3. Area of land and ecosystems under restoration])</totalsRowFormula>
    </tableColumn>
    <tableColumn id="16" xr3:uid="{9B5F565A-F1A4-4F72-85EA-322C57F932CD}" name="3.1 Area of degraded agricultural lands under restoration" totalsRowFunction="custom" dataDxfId="45" totalsRowDxfId="44">
      <totalsRowFormula>SUM(Table1[3.1 Area of degraded agricultural lands under restoration])</totalsRowFormula>
    </tableColumn>
    <tableColumn id="17" xr3:uid="{BDEB31E6-4D14-451B-8563-64067B1A8DB5}" name="3.2 Area of forest and forest land under restoration" totalsRowFunction="custom" dataDxfId="43" totalsRowDxfId="42">
      <totalsRowFormula>SUM(Table1[3.2 Area of forest and forest land under restoration])</totalsRowFormula>
    </tableColumn>
    <tableColumn id="18" xr3:uid="{68F795E4-C5D6-42BA-9E98-B5701580BA8F}" name="3.3 Area of natural grass and woodland under restoration" totalsRowFunction="custom" dataDxfId="41" totalsRowDxfId="40">
      <totalsRowFormula>SUM(Table1[3.3 Area of natural grass and woodland under restoration])</totalsRowFormula>
    </tableColumn>
    <tableColumn id="19" xr3:uid="{E6F4EB27-94D2-4D81-A052-E4965327075C}" name="3.4 Area of wetlands (including estuaries, mangroves) under restoration" totalsRowFunction="custom" dataDxfId="39" totalsRowDxfId="38">
      <totalsRowFormula>SUM(Table1[3.4 Area of wetlands (including estuaries, mangroves) under restoration])</totalsRowFormula>
    </tableColumn>
    <tableColumn id="20" xr3:uid="{586B7A8A-D684-4DF4-BB45-68C5BB3A059D}" name="4. Area of landscape under improved pratice, excluding protected areas (Ha)" totalsRowFunction="custom" dataDxfId="37" totalsRowDxfId="36">
      <totalsRowFormula>SUM(Table1[4. Area of landscape under improved pratice, excluding protected areas (Ha)])</totalsRowFormula>
    </tableColumn>
    <tableColumn id="21" xr3:uid="{F9515835-F869-45F5-A866-684154EE7319}" name="4.1 Area of landscapes under improved management to benefit biodiversity (Ha)" totalsRowFunction="custom" dataDxfId="35" totalsRowDxfId="34">
      <totalsRowFormula>SUM(Table1[4.1 Area of landscapes under improved management to benefit biodiversity (Ha)])</totalsRowFormula>
    </tableColumn>
    <tableColumn id="22" xr3:uid="{4CF820B4-7884-484B-B2E0-5284686072AC}" name="4.2 Area of landscapes under third-party certification incorporating biodiversity considerations (Ha)" totalsRowFunction="custom" dataDxfId="33" totalsRowDxfId="32">
      <totalsRowFormula>SUM(Table1[4.2 Area of landscapes under third-party certification incorporating biodiversity considerations (Ha)])</totalsRowFormula>
    </tableColumn>
    <tableColumn id="23" xr3:uid="{D3D6D085-296C-4E28-B92A-AD231B9B0854}" name="4.3 Area of landscapes under sustainable land management in production systems (Ha)" totalsRowFunction="custom" dataDxfId="31" totalsRowDxfId="30">
      <totalsRowFormula>SUM(Table1[4.3 Area of landscapes under sustainable land management in production systems (Ha)])</totalsRowFormula>
    </tableColumn>
    <tableColumn id="24" xr3:uid="{153767E5-B76E-4940-9F00-915EF27D3E1B}" name="4.4 Area of High Conservation Value or other forest loss avoided (Ha)" totalsRowFunction="custom" dataDxfId="29" totalsRowDxfId="28">
      <totalsRowFormula>SUM(Table1[4.4 Area of High Conservation Value or other forest loss avoided (Ha)])</totalsRowFormula>
    </tableColumn>
    <tableColumn id="34" xr3:uid="{3EE4937E-07A2-4C10-86C1-BA0D1B774403}" name="5. Area of marine habitat under improved practices (ha)" totalsRowFunction="custom" dataDxfId="27" totalsRowDxfId="26">
      <totalsRowFormula>SUM(Table1[5. Area of marine habitat under improved practices (ha)])</totalsRowFormula>
    </tableColumn>
    <tableColumn id="35" xr3:uid="{EB7700E7-E9C4-4788-994E-F3E42D7DF139}" name="6. Greenhouse Gas Emissions Mitigated (tCO2e)" totalsRowFunction="custom" dataDxfId="25" totalsRowDxfId="24">
      <calculatedColumnFormula>SUM(AI3:AJ3)</calculatedColumnFormula>
      <totalsRowFormula>SUM(Table1[6. Greenhouse Gas Emissions Mitigated (tCO2e)])</totalsRowFormula>
    </tableColumn>
    <tableColumn id="25" xr3:uid="{EF3C77B0-D182-4771-967E-E3DEEFACCF1F}" name="6.a Direct Greenhouse Gas Emissions Mitigated (tCO2e)2" totalsRowFunction="custom" dataDxfId="23" totalsRowDxfId="22">
      <totalsRowFormula>SUM(Table1[6.a Direct Greenhouse Gas Emissions Mitigated (tCO2e)2])</totalsRowFormula>
    </tableColumn>
    <tableColumn id="26" xr3:uid="{CC34839D-3791-41E7-BDA3-FEFF67714701}" name="6.b Indirect Greenhouse Gas Emissions Mitigated (tCO2e)" totalsRowFunction="custom" dataDxfId="21" totalsRowDxfId="20">
      <totalsRowFormula>SUM(Table1[6.b Indirect Greenhouse Gas Emissions Mitigated (tCO2e)])</totalsRowFormula>
    </tableColumn>
    <tableColumn id="27" xr3:uid="{C315EE42-281E-4A40-BD70-8C3532645F1D}" name="6.1.a Direct Carbon Sequestered or Emissions Avoided in the AFOLU" totalsRowFunction="custom" dataDxfId="19" totalsRowDxfId="18">
      <totalsRowFormula>SUM(Table1[6.1.a Direct Carbon Sequestered or Emissions Avoided in the AFOLU])</totalsRowFormula>
    </tableColumn>
    <tableColumn id="28" xr3:uid="{3C904843-FBFC-4C72-93FF-A7A985D79EDC}" name="6.1.b Indirect Carbon Sequestered or Emissions Avoided in the AFOLU" totalsRowFunction="custom" dataDxfId="17" totalsRowDxfId="16">
      <totalsRowFormula>SUM(Table1[6.1.b Indirect Carbon Sequestered or Emissions Avoided in the AFOLU])</totalsRowFormula>
    </tableColumn>
    <tableColumn id="29" xr3:uid="{DCA5D6CF-03B9-49FB-91B1-296BDD2D9148}" name="6.2 Emissions Avoided Outside AFOLU" totalsRowFunction="custom" dataDxfId="15" totalsRowDxfId="14">
      <totalsRowFormula>SUM(Table1[6.2 Emissions Avoided Outside AFOLU])</totalsRowFormula>
    </tableColumn>
    <tableColumn id="30" xr3:uid="{2826069F-33A3-4DDE-AB10-2072B77411BE}" name="6.3 Energy Saved" totalsRowFunction="custom" dataDxfId="13" totalsRowDxfId="12">
      <totalsRowFormula>SUM(Table1[6.3 Energy Saved])</totalsRowFormula>
    </tableColumn>
    <tableColumn id="31" xr3:uid="{A6D7B2B1-60C4-4E40-BCB3-5CC432C7567F}" name="6.4 Increase in Installed Renewable Energy Capacity per Technology" totalsRowFunction="custom" dataDxfId="11" totalsRowDxfId="10">
      <totalsRowFormula>SUM(Table1[6.4 Increase in Installed Renewable Energy Capacity per Technology])</totalsRowFormula>
    </tableColumn>
    <tableColumn id="32" xr3:uid="{7698FD8C-D819-4122-AFAD-F2872FE738B3}" name="11. People benefiting from GEF investment" totalsRowFunction="custom" dataDxfId="9" totalsRowDxfId="8">
      <totalsRowFormula>SUM(Table1[11. People benefiting from GEF investment])</totalsRowFormula>
    </tableColumn>
    <tableColumn id="33" xr3:uid="{CEA33141-1893-4173-92B5-372A240C825C}" name="11.1 of whom women" totalsRowFunction="custom" dataDxfId="7" totalsRowDxfId="6">
      <totalsRowFormula>SUM(Table1[11.1 of whom women])</totalsRowFormula>
    </tableColumn>
    <tableColumn id="48" xr3:uid="{B99323D1-521D-4B22-93AD-7BB2CCB2DBA4}" name="Is defined as Principal or Signifcant for Climate Mitigation and/or Adaptation" dataDxfId="5" totalsRowDxfId="4"/>
    <tableColumn id="47" xr3:uid="{963A2391-57C9-49ED-8B9D-37D0FCBA022F}" name="Is Executing Agency an International Financial Institution (IFI)" dataDxfId="3" totalsRowDxfId="2"/>
    <tableColumn id="46" xr3:uid="{2226CB95-7409-4C6F-89F0-6DDD761E0DB5}" name="12.Total land under sustainable management" totalsRowFunction="custom" dataDxfId="1" totalsRowDxfId="0">
      <calculatedColumnFormula>SUM(Q3,T3,W3,AB3,AG3)</calculatedColumnFormula>
      <totalsRowFormula>SUM(Table1[12.Total land under sustainable management])</totalsRow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 dT="2026-08-26T08:23:45.49" personId="{DEDD87C7-7261-4F1D-9A72-38FEE3502C0B}" id="{18E64D76-A5F3-4F7A-AF84-865297FEE297}">
    <text>Milestones spread over four years because all projects from first five selection rounds should have been endorsed by early 2028</text>
  </threadedComment>
</ThreadedComments>
</file>

<file path=xl/worksheets/_rels/sheet2.xml.rels><?xml version="1.0" encoding="UTF-8" standalone="yes"?>
<Relationships xmlns="http://schemas.openxmlformats.org/package/2006/relationships"><Relationship Id="rId2" Type="http://schemas.openxmlformats.org/officeDocument/2006/relationships/hyperlink" Target="https://www.bankofengland.co.uk/boeapps/database/index.asp?Travel=NIxIRx&amp;levels=2&amp;G0Xtop.x=108&amp;G0Xtop.y=12&amp;XNotes=Y&amp;C=ECW&amp;Nodes=X3790X3791X3873X33940X3836X33620&amp;SectionRequired=I&amp;HideNums=-1&amp;ExtraInfo=true" TargetMode="External"/><Relationship Id="rId1" Type="http://schemas.openxmlformats.org/officeDocument/2006/relationships/hyperlink" Target="https://www.bankofengland.co.uk/boeapps/database/index.asp?Travel=NIxIRx&amp;levels=2&amp;G0Xtop.x=97&amp;G0Xtop.y=21&amp;XNotes=Y&amp;C=C8P&amp;Nodes=X3790X3791X3873X33940X3836&amp;SectionRequired=I&amp;HideNums=-1&amp;ExtraInfo=true"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www.thegef.org/sites/default/files/documents/2024-02/EN_GEF.C.64.Inf_.04_Scorecard_June_2023.pdf" TargetMode="External"/><Relationship Id="rId1" Type="http://schemas.openxmlformats.org/officeDocument/2006/relationships/hyperlink" Target="https://iatipublisher-prod.s3.amazonaws.com/document-link/414/GBF-Fund-Full-Business-Case-%28Redacted%29-202408210208371745544305.pdf"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bd.int/reports/search" TargetMode="External"/><Relationship Id="rId1" Type="http://schemas.openxmlformats.org/officeDocument/2006/relationships/hyperlink" Target="https://ort.cbd.i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583D5-8C19-452F-8DD9-027C79816DF2}">
  <dimension ref="A1:L11"/>
  <sheetViews>
    <sheetView workbookViewId="0">
      <selection activeCell="L16" sqref="L16"/>
    </sheetView>
  </sheetViews>
  <sheetFormatPr defaultRowHeight="12.75" x14ac:dyDescent="0.2"/>
  <sheetData>
    <row r="1" spans="1:12" ht="30.75" customHeight="1" x14ac:dyDescent="0.2">
      <c r="A1" s="329" t="s">
        <v>0</v>
      </c>
      <c r="B1" s="328"/>
      <c r="C1" s="328"/>
      <c r="D1" s="328"/>
      <c r="E1" s="328"/>
      <c r="F1" s="328"/>
      <c r="G1" s="328"/>
      <c r="H1" s="328"/>
      <c r="I1" s="328"/>
      <c r="J1" s="328"/>
      <c r="K1" s="328"/>
      <c r="L1" s="328"/>
    </row>
    <row r="3" spans="1:12" ht="246.75" customHeight="1" x14ac:dyDescent="0.2">
      <c r="A3" s="327" t="s">
        <v>1</v>
      </c>
      <c r="B3" s="328"/>
      <c r="C3" s="328"/>
      <c r="D3" s="328"/>
      <c r="E3" s="328"/>
      <c r="F3" s="328"/>
      <c r="G3" s="328"/>
      <c r="H3" s="328"/>
      <c r="I3" s="328"/>
      <c r="J3" s="328"/>
      <c r="K3" s="328"/>
      <c r="L3" s="328"/>
    </row>
    <row r="5" spans="1:12" ht="24.75" customHeight="1" x14ac:dyDescent="0.2">
      <c r="A5" s="330" t="s">
        <v>2</v>
      </c>
      <c r="B5" s="330"/>
      <c r="C5" s="330"/>
      <c r="D5" s="330"/>
      <c r="E5" s="330"/>
      <c r="F5" s="330"/>
      <c r="G5" s="330"/>
      <c r="H5" s="330"/>
      <c r="I5" s="330"/>
      <c r="J5" s="330"/>
      <c r="K5" s="330"/>
      <c r="L5" s="330"/>
    </row>
    <row r="10" spans="1:12" x14ac:dyDescent="0.2">
      <c r="E10" s="152"/>
    </row>
    <row r="11" spans="1:12" x14ac:dyDescent="0.2">
      <c r="E11" s="154"/>
    </row>
  </sheetData>
  <mergeCells count="3">
    <mergeCell ref="A3:L3"/>
    <mergeCell ref="A1:L1"/>
    <mergeCell ref="A5: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22E4F-0101-4AF2-965C-E9A547ED472F}">
  <sheetPr>
    <tabColor rgb="FF92D050"/>
  </sheetPr>
  <dimension ref="A1:E15"/>
  <sheetViews>
    <sheetView workbookViewId="0">
      <selection activeCell="B9" sqref="B9"/>
    </sheetView>
  </sheetViews>
  <sheetFormatPr defaultRowHeight="12.75" x14ac:dyDescent="0.2"/>
  <cols>
    <col min="1" max="1" width="11.42578125" customWidth="1"/>
    <col min="2" max="2" width="34.140625" customWidth="1"/>
    <col min="4" max="4" width="131.85546875" customWidth="1"/>
  </cols>
  <sheetData>
    <row r="1" spans="1:5" x14ac:dyDescent="0.2">
      <c r="B1" s="223" t="s">
        <v>3</v>
      </c>
    </row>
    <row r="2" spans="1:5" x14ac:dyDescent="0.2">
      <c r="B2" s="223" t="s">
        <v>4</v>
      </c>
      <c r="C2" s="223" t="s">
        <v>5</v>
      </c>
      <c r="D2" s="223" t="s">
        <v>6</v>
      </c>
      <c r="E2" s="228" t="s">
        <v>7</v>
      </c>
    </row>
    <row r="3" spans="1:5" x14ac:dyDescent="0.2">
      <c r="B3" s="1" t="s">
        <v>8</v>
      </c>
      <c r="C3" s="66">
        <v>0.8</v>
      </c>
      <c r="D3" s="154" t="s">
        <v>9</v>
      </c>
      <c r="E3" t="s">
        <v>10</v>
      </c>
    </row>
    <row r="4" spans="1:5" x14ac:dyDescent="0.2">
      <c r="B4" s="1" t="s">
        <v>11</v>
      </c>
      <c r="C4" s="66">
        <v>0.95</v>
      </c>
      <c r="D4" s="1" t="s">
        <v>12</v>
      </c>
      <c r="E4" t="s">
        <v>10</v>
      </c>
    </row>
    <row r="5" spans="1:5" ht="25.5" x14ac:dyDescent="0.2">
      <c r="B5" s="2" t="s">
        <v>13</v>
      </c>
      <c r="C5" s="66">
        <v>0.5</v>
      </c>
      <c r="D5" s="1" t="s">
        <v>14</v>
      </c>
      <c r="E5" t="s">
        <v>10</v>
      </c>
    </row>
    <row r="6" spans="1:5" x14ac:dyDescent="0.2">
      <c r="B6" s="1"/>
      <c r="C6" s="66"/>
      <c r="D6" s="154"/>
    </row>
    <row r="7" spans="1:5" x14ac:dyDescent="0.2">
      <c r="B7" s="260" t="s">
        <v>15</v>
      </c>
      <c r="C7" s="66"/>
      <c r="D7" s="154" t="s">
        <v>16</v>
      </c>
    </row>
    <row r="8" spans="1:5" x14ac:dyDescent="0.2">
      <c r="A8" s="331" t="s">
        <v>17</v>
      </c>
      <c r="B8" s="1" t="s">
        <v>18</v>
      </c>
      <c r="C8" s="86">
        <v>0.78200000000000003</v>
      </c>
      <c r="D8" s="230" t="s">
        <v>19</v>
      </c>
      <c r="E8" s="65" t="s">
        <v>20</v>
      </c>
    </row>
    <row r="9" spans="1:5" x14ac:dyDescent="0.2">
      <c r="A9" s="331"/>
      <c r="B9" s="1" t="s">
        <v>21</v>
      </c>
      <c r="C9" s="86">
        <v>0.74399999999999999</v>
      </c>
      <c r="D9" s="230" t="s">
        <v>22</v>
      </c>
      <c r="E9" s="65"/>
    </row>
    <row r="10" spans="1:5" x14ac:dyDescent="0.2">
      <c r="A10" s="331"/>
      <c r="B10" s="1" t="s">
        <v>23</v>
      </c>
      <c r="C10" s="86"/>
      <c r="D10" s="230" t="s">
        <v>24</v>
      </c>
      <c r="E10" s="65"/>
    </row>
    <row r="11" spans="1:5" x14ac:dyDescent="0.2">
      <c r="B11" s="1"/>
      <c r="D11" s="230"/>
    </row>
    <row r="12" spans="1:5" x14ac:dyDescent="0.2">
      <c r="A12" s="331" t="s">
        <v>25</v>
      </c>
      <c r="B12" s="1" t="s">
        <v>18</v>
      </c>
      <c r="C12" s="86">
        <f>1/C8</f>
        <v>1.2787723785166241</v>
      </c>
      <c r="D12" s="230" t="s">
        <v>26</v>
      </c>
      <c r="E12" s="65" t="s">
        <v>27</v>
      </c>
    </row>
    <row r="13" spans="1:5" x14ac:dyDescent="0.2">
      <c r="A13" s="331"/>
      <c r="B13" s="1" t="s">
        <v>21</v>
      </c>
      <c r="C13" s="86">
        <f>1/C9</f>
        <v>1.3440860215053763</v>
      </c>
      <c r="D13" s="230" t="s">
        <v>28</v>
      </c>
    </row>
    <row r="14" spans="1:5" x14ac:dyDescent="0.2">
      <c r="A14" s="331"/>
      <c r="B14" s="1" t="s">
        <v>23</v>
      </c>
      <c r="C14" s="86" t="e">
        <f>1/C10</f>
        <v>#DIV/0!</v>
      </c>
      <c r="D14" s="230" t="s">
        <v>29</v>
      </c>
    </row>
    <row r="15" spans="1:5" x14ac:dyDescent="0.2">
      <c r="B15" s="1"/>
      <c r="C15" s="86"/>
    </row>
  </sheetData>
  <mergeCells count="2">
    <mergeCell ref="A8:A10"/>
    <mergeCell ref="A12:A14"/>
  </mergeCells>
  <hyperlinks>
    <hyperlink ref="E8" r:id="rId1" location="BM" xr:uid="{285600CD-8142-43B3-B1AC-5BBC59EA7B3D}"/>
    <hyperlink ref="E12" r:id="rId2" location="BM" xr:uid="{4DA8680B-1E5D-4206-A444-48968175330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DB3FB-80ED-456F-A2A8-53C0C77336AE}">
  <sheetPr>
    <tabColor rgb="FF92D050"/>
  </sheetPr>
  <dimension ref="A1:F11"/>
  <sheetViews>
    <sheetView workbookViewId="0">
      <selection activeCell="F3" sqref="F3"/>
    </sheetView>
  </sheetViews>
  <sheetFormatPr defaultRowHeight="12.75" x14ac:dyDescent="0.2"/>
  <cols>
    <col min="1" max="1" width="34" customWidth="1"/>
    <col min="2" max="5" width="15.28515625" bestFit="1" customWidth="1"/>
    <col min="6" max="6" width="16.28515625" bestFit="1" customWidth="1"/>
  </cols>
  <sheetData>
    <row r="1" spans="1:6" x14ac:dyDescent="0.2">
      <c r="A1" s="223" t="s">
        <v>30</v>
      </c>
    </row>
    <row r="2" spans="1:6" x14ac:dyDescent="0.2">
      <c r="A2" s="223"/>
      <c r="B2" s="223" t="s">
        <v>31</v>
      </c>
      <c r="C2" s="223" t="s">
        <v>32</v>
      </c>
      <c r="D2" s="223" t="s">
        <v>33</v>
      </c>
      <c r="E2" s="223" t="s">
        <v>34</v>
      </c>
      <c r="F2" s="228" t="s">
        <v>35</v>
      </c>
    </row>
    <row r="3" spans="1:6" x14ac:dyDescent="0.2">
      <c r="A3" s="123" t="s">
        <v>36</v>
      </c>
      <c r="B3" s="235">
        <v>0</v>
      </c>
      <c r="C3" s="235">
        <f>0.55/4</f>
        <v>0.13750000000000001</v>
      </c>
      <c r="D3" s="235">
        <f>C3+0.55/4</f>
        <v>0.27500000000000002</v>
      </c>
      <c r="E3" s="235">
        <f>D3+0.55/4</f>
        <v>0.41250000000000003</v>
      </c>
      <c r="F3" s="235">
        <f>E3+0.55/4</f>
        <v>0.55000000000000004</v>
      </c>
    </row>
    <row r="5" spans="1:6" ht="187.5" customHeight="1" x14ac:dyDescent="0.2">
      <c r="A5" s="327" t="s">
        <v>37</v>
      </c>
      <c r="B5" s="328"/>
      <c r="C5" s="328"/>
      <c r="D5" s="328"/>
      <c r="E5" s="328"/>
      <c r="F5" s="328"/>
    </row>
    <row r="6" spans="1:6" ht="17.25" customHeight="1" x14ac:dyDescent="0.2">
      <c r="A6" s="328"/>
      <c r="B6" s="328"/>
      <c r="C6" s="328"/>
      <c r="D6" s="328"/>
      <c r="E6" s="328"/>
      <c r="F6" s="328"/>
    </row>
    <row r="9" spans="1:6" x14ac:dyDescent="0.2">
      <c r="B9" s="223"/>
      <c r="C9" s="223"/>
      <c r="D9" s="223"/>
    </row>
    <row r="10" spans="1:6" x14ac:dyDescent="0.2">
      <c r="A10" s="223"/>
      <c r="B10" s="122"/>
      <c r="C10" s="122"/>
      <c r="D10" s="122"/>
    </row>
    <row r="11" spans="1:6" x14ac:dyDescent="0.2">
      <c r="A11" s="223"/>
      <c r="B11" s="122"/>
      <c r="C11" s="122"/>
      <c r="D11" s="122"/>
    </row>
  </sheetData>
  <mergeCells count="2">
    <mergeCell ref="A5:F5"/>
    <mergeCell ref="A6: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4224-4CBF-4A66-803A-E7C9FDFCA7F9}">
  <sheetPr>
    <tabColor rgb="FF92D050"/>
  </sheetPr>
  <dimension ref="A1:D8"/>
  <sheetViews>
    <sheetView workbookViewId="0">
      <selection activeCell="C4" sqref="C4"/>
    </sheetView>
  </sheetViews>
  <sheetFormatPr defaultRowHeight="12.75" x14ac:dyDescent="0.2"/>
  <cols>
    <col min="1" max="1" width="50.85546875" customWidth="1"/>
    <col min="2" max="4" width="16.28515625" customWidth="1"/>
    <col min="5" max="5" width="14.28515625" customWidth="1"/>
  </cols>
  <sheetData>
    <row r="1" spans="1:4" x14ac:dyDescent="0.2">
      <c r="A1" s="63" t="s">
        <v>38</v>
      </c>
      <c r="B1" s="229"/>
      <c r="C1" s="229"/>
      <c r="D1" s="229"/>
    </row>
    <row r="2" spans="1:4" x14ac:dyDescent="0.2">
      <c r="A2" s="63" t="s">
        <v>39</v>
      </c>
      <c r="B2" s="122">
        <f>31500000+23500000</f>
        <v>55000000</v>
      </c>
      <c r="C2" s="229"/>
      <c r="D2" s="229"/>
    </row>
    <row r="3" spans="1:4" x14ac:dyDescent="0.2">
      <c r="A3" s="63" t="s">
        <v>40</v>
      </c>
      <c r="B3" s="87">
        <v>72961857</v>
      </c>
      <c r="C3" s="229"/>
      <c r="D3" s="229"/>
    </row>
    <row r="4" spans="1:4" x14ac:dyDescent="0.2">
      <c r="A4" s="63" t="s">
        <v>41</v>
      </c>
      <c r="B4" s="87">
        <v>386428212</v>
      </c>
      <c r="C4" s="229"/>
      <c r="D4" s="229"/>
    </row>
    <row r="5" spans="1:4" x14ac:dyDescent="0.2">
      <c r="A5" s="63" t="s">
        <v>42</v>
      </c>
      <c r="B5" s="229">
        <f>B3/B4</f>
        <v>0.18881089613612373</v>
      </c>
      <c r="C5" s="229"/>
      <c r="D5" s="229"/>
    </row>
    <row r="6" spans="1:4" x14ac:dyDescent="0.2">
      <c r="A6" s="63"/>
      <c r="B6" s="229"/>
      <c r="C6" s="229"/>
      <c r="D6" s="229"/>
    </row>
    <row r="7" spans="1:4" x14ac:dyDescent="0.2">
      <c r="A7" s="63"/>
      <c r="B7" s="229"/>
      <c r="C7" s="229"/>
      <c r="D7" s="229"/>
    </row>
    <row r="8" spans="1:4" ht="75.75" customHeight="1" x14ac:dyDescent="0.2">
      <c r="A8" s="327" t="s">
        <v>43</v>
      </c>
      <c r="B8" s="328"/>
      <c r="C8" s="328"/>
      <c r="D8" s="328"/>
    </row>
  </sheetData>
  <mergeCells count="1">
    <mergeCell ref="A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3C17F-FE55-4AD1-A6F3-D330981C42FF}">
  <sheetPr>
    <tabColor rgb="FF92D050"/>
  </sheetPr>
  <dimension ref="A1:AT33"/>
  <sheetViews>
    <sheetView workbookViewId="0">
      <pane xSplit="2" topLeftCell="J1" activePane="topRight" state="frozen"/>
      <selection pane="topRight" activeCell="P31" sqref="P31"/>
    </sheetView>
  </sheetViews>
  <sheetFormatPr defaultRowHeight="12.75" x14ac:dyDescent="0.2"/>
  <cols>
    <col min="1" max="1" width="95.28515625" customWidth="1"/>
    <col min="2" max="2" width="22.140625" customWidth="1"/>
    <col min="3" max="3" width="7.5703125" customWidth="1"/>
    <col min="4" max="4" width="5.85546875" customWidth="1"/>
    <col min="5" max="5" width="9.140625" customWidth="1"/>
    <col min="6" max="14" width="14.28515625" style="87" customWidth="1"/>
    <col min="15" max="15" width="9.85546875" style="66" customWidth="1"/>
    <col min="16" max="16" width="12.5703125" style="66" customWidth="1"/>
    <col min="17" max="30" width="29.140625" style="89" customWidth="1"/>
    <col min="31" max="39" width="29.140625" style="84" customWidth="1"/>
    <col min="40" max="40" width="26.85546875" style="84" customWidth="1"/>
    <col min="41" max="41" width="29.140625" style="84" customWidth="1"/>
    <col min="42" max="42" width="23.5703125" style="84" customWidth="1"/>
    <col min="43" max="46" width="23.42578125" style="84" customWidth="1"/>
    <col min="47" max="47" width="21.28515625" customWidth="1"/>
    <col min="48" max="48" width="17.85546875" customWidth="1"/>
  </cols>
  <sheetData>
    <row r="1" spans="1:46" x14ac:dyDescent="0.2">
      <c r="A1" s="223" t="s">
        <v>44</v>
      </c>
    </row>
    <row r="2" spans="1:46" s="115" customFormat="1" ht="43.5" customHeight="1" x14ac:dyDescent="0.2">
      <c r="A2" s="106" t="s">
        <v>45</v>
      </c>
      <c r="B2" s="106" t="s">
        <v>46</v>
      </c>
      <c r="C2" s="106" t="s">
        <v>47</v>
      </c>
      <c r="D2" s="106" t="s">
        <v>48</v>
      </c>
      <c r="E2" s="106" t="s">
        <v>49</v>
      </c>
      <c r="F2" s="107" t="s">
        <v>50</v>
      </c>
      <c r="G2" s="107" t="s">
        <v>51</v>
      </c>
      <c r="H2" s="107" t="s">
        <v>52</v>
      </c>
      <c r="I2" s="107" t="s">
        <v>53</v>
      </c>
      <c r="J2" s="107" t="s">
        <v>54</v>
      </c>
      <c r="K2" s="107" t="s">
        <v>55</v>
      </c>
      <c r="L2" s="107" t="s">
        <v>56</v>
      </c>
      <c r="M2" s="107" t="s">
        <v>57</v>
      </c>
      <c r="N2" s="107" t="s">
        <v>58</v>
      </c>
      <c r="O2" s="108" t="s">
        <v>59</v>
      </c>
      <c r="P2" s="108" t="s">
        <v>60</v>
      </c>
      <c r="Q2" s="109" t="s">
        <v>61</v>
      </c>
      <c r="R2" s="109" t="s">
        <v>62</v>
      </c>
      <c r="S2" s="109" t="s">
        <v>63</v>
      </c>
      <c r="T2" s="110" t="s">
        <v>64</v>
      </c>
      <c r="U2" s="110" t="s">
        <v>65</v>
      </c>
      <c r="V2" s="110" t="s">
        <v>66</v>
      </c>
      <c r="W2" s="111" t="s">
        <v>67</v>
      </c>
      <c r="X2" s="111" t="s">
        <v>68</v>
      </c>
      <c r="Y2" s="111" t="s">
        <v>69</v>
      </c>
      <c r="Z2" s="111" t="s">
        <v>70</v>
      </c>
      <c r="AA2" s="111" t="s">
        <v>71</v>
      </c>
      <c r="AB2" s="112" t="s">
        <v>72</v>
      </c>
      <c r="AC2" s="112" t="s">
        <v>73</v>
      </c>
      <c r="AD2" s="112" t="s">
        <v>74</v>
      </c>
      <c r="AE2" s="112" t="s">
        <v>75</v>
      </c>
      <c r="AF2" s="112" t="s">
        <v>76</v>
      </c>
      <c r="AG2" s="119" t="s">
        <v>77</v>
      </c>
      <c r="AH2" s="113" t="s">
        <v>78</v>
      </c>
      <c r="AI2" s="113" t="s">
        <v>79</v>
      </c>
      <c r="AJ2" s="113" t="s">
        <v>80</v>
      </c>
      <c r="AK2" s="113" t="s">
        <v>81</v>
      </c>
      <c r="AL2" s="113" t="s">
        <v>82</v>
      </c>
      <c r="AM2" s="113" t="s">
        <v>83</v>
      </c>
      <c r="AN2" s="113" t="s">
        <v>84</v>
      </c>
      <c r="AO2" s="113" t="s">
        <v>85</v>
      </c>
      <c r="AP2" s="114" t="s">
        <v>86</v>
      </c>
      <c r="AQ2" s="114" t="s">
        <v>87</v>
      </c>
      <c r="AR2" s="113" t="s">
        <v>88</v>
      </c>
      <c r="AS2" s="113" t="s">
        <v>89</v>
      </c>
      <c r="AT2" s="244" t="s">
        <v>90</v>
      </c>
    </row>
    <row r="3" spans="1:46" x14ac:dyDescent="0.2">
      <c r="A3" s="103" t="s">
        <v>91</v>
      </c>
      <c r="B3" s="159" t="s">
        <v>92</v>
      </c>
      <c r="C3" s="159">
        <v>2025</v>
      </c>
      <c r="D3" s="103">
        <v>0</v>
      </c>
      <c r="E3" s="103">
        <v>2024</v>
      </c>
      <c r="F3" s="104">
        <v>16672477</v>
      </c>
      <c r="G3" s="104">
        <v>1500523</v>
      </c>
      <c r="H3" s="104">
        <v>300000</v>
      </c>
      <c r="I3" s="104">
        <v>27000</v>
      </c>
      <c r="J3" s="104">
        <f>SUM(F3:I3)</f>
        <v>18500000</v>
      </c>
      <c r="K3" s="104">
        <v>115549532</v>
      </c>
      <c r="L3" s="104">
        <v>13067000</v>
      </c>
      <c r="M3" s="104">
        <f>Table1[[#This Row],[Cofinancing]]-Table1[[#This Row],[Of which private]]</f>
        <v>102482532</v>
      </c>
      <c r="N3" s="104">
        <v>12146999</v>
      </c>
      <c r="O3" s="105">
        <f>Table1[[#This Row],[IPLC Financing]]/Table1[[#This Row],[Grant Cost (USD)]]</f>
        <v>0.72856594733943858</v>
      </c>
      <c r="P3" s="104">
        <f>Table1[[#This Row],[Grant Cost (USD)]]*Table1[[#This Row],[SIDS/LDC]]</f>
        <v>0</v>
      </c>
      <c r="Q3" s="90">
        <v>3665666.04</v>
      </c>
      <c r="R3" s="91">
        <v>0</v>
      </c>
      <c r="S3" s="91">
        <v>3665666</v>
      </c>
      <c r="T3" s="92">
        <v>22241503.949999999</v>
      </c>
      <c r="U3" s="93">
        <v>0</v>
      </c>
      <c r="V3" s="93">
        <v>22241503.989999998</v>
      </c>
      <c r="W3" s="94">
        <v>0</v>
      </c>
      <c r="X3" s="95">
        <v>0</v>
      </c>
      <c r="Y3" s="95">
        <v>0</v>
      </c>
      <c r="Z3" s="95">
        <v>0</v>
      </c>
      <c r="AA3" s="95">
        <v>0</v>
      </c>
      <c r="AB3" s="100">
        <v>0</v>
      </c>
      <c r="AC3" s="101">
        <v>0</v>
      </c>
      <c r="AD3" s="101">
        <v>0</v>
      </c>
      <c r="AE3" s="102">
        <v>0</v>
      </c>
      <c r="AF3" s="102">
        <v>0</v>
      </c>
      <c r="AG3" s="120">
        <v>0</v>
      </c>
      <c r="AH3" s="98">
        <f t="shared" ref="AH3:AH9" si="0">SUM(AI3:AJ3)</f>
        <v>5700000</v>
      </c>
      <c r="AI3" s="98">
        <v>5700000</v>
      </c>
      <c r="AJ3" s="98">
        <v>0</v>
      </c>
      <c r="AK3" s="99">
        <v>5700000</v>
      </c>
      <c r="AL3" s="99">
        <v>0</v>
      </c>
      <c r="AM3" s="99">
        <v>0</v>
      </c>
      <c r="AN3" s="99">
        <v>0</v>
      </c>
      <c r="AO3" s="99">
        <v>0</v>
      </c>
      <c r="AP3" s="96">
        <v>163293</v>
      </c>
      <c r="AQ3" s="97">
        <v>83000</v>
      </c>
      <c r="AR3" s="184" t="s">
        <v>93</v>
      </c>
      <c r="AS3" s="184" t="s">
        <v>94</v>
      </c>
      <c r="AT3" s="132">
        <f t="shared" ref="AT3:AT28" si="1">SUM(Q3,T3,W3,AB3,AG3)</f>
        <v>25907169.989999998</v>
      </c>
    </row>
    <row r="4" spans="1:46" x14ac:dyDescent="0.2">
      <c r="A4" s="103" t="s">
        <v>95</v>
      </c>
      <c r="B4" s="159" t="s">
        <v>96</v>
      </c>
      <c r="C4" s="159">
        <v>2025</v>
      </c>
      <c r="D4" s="103">
        <v>0</v>
      </c>
      <c r="E4" s="103">
        <v>2024</v>
      </c>
      <c r="F4" s="104">
        <v>8964220</v>
      </c>
      <c r="G4" s="104">
        <v>806780</v>
      </c>
      <c r="H4" s="104">
        <v>100000</v>
      </c>
      <c r="I4" s="104">
        <v>9000</v>
      </c>
      <c r="J4" s="104">
        <f t="shared" ref="J4:J9" si="2">SUM(F4:I4)</f>
        <v>9880000</v>
      </c>
      <c r="K4" s="104">
        <v>0</v>
      </c>
      <c r="L4" s="104">
        <v>0</v>
      </c>
      <c r="M4" s="104">
        <f>Table1[[#This Row],[Cofinancing]]-Table1[[#This Row],[Of which private]]</f>
        <v>0</v>
      </c>
      <c r="N4" s="104">
        <v>732155</v>
      </c>
      <c r="O4" s="105">
        <f>Table1[[#This Row],[IPLC Financing]]/Table1[[#This Row],[Grant Cost (USD)]]</f>
        <v>8.1675260089556029E-2</v>
      </c>
      <c r="P4" s="104">
        <f>Table1[[#This Row],[Grant Cost (USD)]]*Table1[[#This Row],[SIDS/LDC]]</f>
        <v>0</v>
      </c>
      <c r="Q4" s="90">
        <v>4581821.32</v>
      </c>
      <c r="R4" s="91">
        <v>100000</v>
      </c>
      <c r="S4" s="91">
        <v>4581821.32</v>
      </c>
      <c r="T4" s="92">
        <v>0</v>
      </c>
      <c r="U4" s="93">
        <v>0</v>
      </c>
      <c r="V4" s="93">
        <v>0</v>
      </c>
      <c r="W4" s="94">
        <v>0</v>
      </c>
      <c r="X4" s="95">
        <v>0</v>
      </c>
      <c r="Y4" s="95">
        <v>0</v>
      </c>
      <c r="Z4" s="95">
        <v>0</v>
      </c>
      <c r="AA4" s="95">
        <v>0</v>
      </c>
      <c r="AB4" s="100">
        <v>0</v>
      </c>
      <c r="AC4" s="101">
        <v>0</v>
      </c>
      <c r="AD4" s="101">
        <v>0</v>
      </c>
      <c r="AE4" s="102">
        <v>0</v>
      </c>
      <c r="AF4" s="102">
        <v>0</v>
      </c>
      <c r="AG4" s="120">
        <v>0</v>
      </c>
      <c r="AH4" s="98">
        <f t="shared" si="0"/>
        <v>48837633.449999996</v>
      </c>
      <c r="AI4" s="98">
        <v>4186082.87</v>
      </c>
      <c r="AJ4" s="98">
        <v>44651550.579999998</v>
      </c>
      <c r="AK4" s="99">
        <v>4186082.87</v>
      </c>
      <c r="AL4" s="99">
        <v>44651550.579999998</v>
      </c>
      <c r="AM4" s="99">
        <v>0</v>
      </c>
      <c r="AN4" s="99">
        <v>0</v>
      </c>
      <c r="AO4" s="99">
        <v>0</v>
      </c>
      <c r="AP4" s="96">
        <v>4390</v>
      </c>
      <c r="AQ4" s="97">
        <v>2791</v>
      </c>
      <c r="AR4" s="184" t="s">
        <v>93</v>
      </c>
      <c r="AS4" s="184" t="s">
        <v>94</v>
      </c>
      <c r="AT4" s="132">
        <f t="shared" si="1"/>
        <v>4581821.32</v>
      </c>
    </row>
    <row r="5" spans="1:46" x14ac:dyDescent="0.2">
      <c r="A5" s="103" t="s">
        <v>97</v>
      </c>
      <c r="B5" s="159" t="s">
        <v>98</v>
      </c>
      <c r="C5" s="159">
        <v>2025</v>
      </c>
      <c r="D5" s="103">
        <v>0</v>
      </c>
      <c r="E5" s="103">
        <v>2024</v>
      </c>
      <c r="F5" s="104">
        <v>9064221</v>
      </c>
      <c r="G5" s="104">
        <v>815779</v>
      </c>
      <c r="H5" s="104">
        <v>0</v>
      </c>
      <c r="I5" s="104">
        <v>0</v>
      </c>
      <c r="J5" s="104">
        <f t="shared" si="2"/>
        <v>9880000</v>
      </c>
      <c r="K5" s="104">
        <v>17900000</v>
      </c>
      <c r="L5" s="104">
        <v>3200000</v>
      </c>
      <c r="M5" s="104">
        <f>Table1[[#This Row],[Cofinancing]]-Table1[[#This Row],[Of which private]]</f>
        <v>14700000</v>
      </c>
      <c r="N5" s="104">
        <v>8632592</v>
      </c>
      <c r="O5" s="105">
        <f>Table1[[#This Row],[IPLC Financing]]/Table1[[#This Row],[Grant Cost (USD)]]</f>
        <v>0.95238101542316767</v>
      </c>
      <c r="P5" s="104">
        <f>Table1[[#This Row],[Grant Cost (USD)]]*Table1[[#This Row],[SIDS/LDC]]</f>
        <v>0</v>
      </c>
      <c r="Q5" s="90">
        <v>0</v>
      </c>
      <c r="R5" s="91">
        <v>0</v>
      </c>
      <c r="S5" s="91">
        <v>0</v>
      </c>
      <c r="T5" s="92">
        <v>0</v>
      </c>
      <c r="U5" s="93">
        <v>0</v>
      </c>
      <c r="V5" s="93">
        <v>0</v>
      </c>
      <c r="W5" s="94">
        <v>0</v>
      </c>
      <c r="X5" s="95">
        <v>0</v>
      </c>
      <c r="Y5" s="95">
        <v>0</v>
      </c>
      <c r="Z5" s="95">
        <v>0</v>
      </c>
      <c r="AA5" s="95">
        <v>0</v>
      </c>
      <c r="AB5" s="100">
        <v>6400000</v>
      </c>
      <c r="AC5" s="101">
        <v>6400000</v>
      </c>
      <c r="AD5" s="101">
        <v>0</v>
      </c>
      <c r="AE5" s="102">
        <v>0</v>
      </c>
      <c r="AF5" s="102">
        <v>0</v>
      </c>
      <c r="AG5" s="120">
        <v>0</v>
      </c>
      <c r="AH5" s="98">
        <f t="shared" si="0"/>
        <v>0</v>
      </c>
      <c r="AI5" s="98">
        <v>0</v>
      </c>
      <c r="AJ5" s="98">
        <v>0</v>
      </c>
      <c r="AK5" s="99">
        <v>0</v>
      </c>
      <c r="AL5" s="99">
        <v>0</v>
      </c>
      <c r="AM5" s="99">
        <v>0</v>
      </c>
      <c r="AN5" s="99">
        <v>0</v>
      </c>
      <c r="AO5" s="99">
        <v>0</v>
      </c>
      <c r="AP5" s="96">
        <v>61000</v>
      </c>
      <c r="AQ5" s="97">
        <v>30500</v>
      </c>
      <c r="AR5" s="184" t="s">
        <v>93</v>
      </c>
      <c r="AS5" s="184" t="s">
        <v>94</v>
      </c>
      <c r="AT5" s="132">
        <f t="shared" si="1"/>
        <v>6400000</v>
      </c>
    </row>
    <row r="6" spans="1:46" x14ac:dyDescent="0.2">
      <c r="A6" s="103" t="s">
        <v>99</v>
      </c>
      <c r="B6" s="159" t="s">
        <v>100</v>
      </c>
      <c r="C6" s="159">
        <v>2025</v>
      </c>
      <c r="D6" s="103">
        <v>0</v>
      </c>
      <c r="E6" s="103">
        <v>2024</v>
      </c>
      <c r="F6" s="104">
        <v>1364496</v>
      </c>
      <c r="G6" s="104">
        <v>122804</v>
      </c>
      <c r="H6" s="104">
        <v>29000</v>
      </c>
      <c r="I6" s="104">
        <v>2610</v>
      </c>
      <c r="J6" s="104">
        <f t="shared" si="2"/>
        <v>1518910</v>
      </c>
      <c r="K6" s="104">
        <v>0</v>
      </c>
      <c r="L6" s="104">
        <v>0</v>
      </c>
      <c r="M6" s="104">
        <f>Table1[[#This Row],[Cofinancing]]-Table1[[#This Row],[Of which private]]</f>
        <v>0</v>
      </c>
      <c r="N6" s="104">
        <v>700000</v>
      </c>
      <c r="O6" s="105">
        <f>Table1[[#This Row],[IPLC Financing]]/Table1[[#This Row],[Grant Cost (USD)]]</f>
        <v>0.51300993187228106</v>
      </c>
      <c r="P6" s="104">
        <f>Table1[[#This Row],[Grant Cost (USD)]]*Table1[[#This Row],[SIDS/LDC]]</f>
        <v>0</v>
      </c>
      <c r="Q6" s="90">
        <v>1120200</v>
      </c>
      <c r="R6" s="91">
        <v>0</v>
      </c>
      <c r="S6" s="91">
        <v>1120200</v>
      </c>
      <c r="T6" s="92">
        <v>0</v>
      </c>
      <c r="U6" s="93">
        <v>0</v>
      </c>
      <c r="V6" s="93">
        <v>0</v>
      </c>
      <c r="W6" s="94">
        <v>0</v>
      </c>
      <c r="X6" s="95">
        <v>0</v>
      </c>
      <c r="Y6" s="95">
        <v>0</v>
      </c>
      <c r="Z6" s="95">
        <v>0</v>
      </c>
      <c r="AA6" s="95">
        <v>0</v>
      </c>
      <c r="AB6" s="100">
        <v>14000</v>
      </c>
      <c r="AC6" s="101">
        <v>14000</v>
      </c>
      <c r="AD6" s="101">
        <v>0</v>
      </c>
      <c r="AE6" s="102">
        <v>0</v>
      </c>
      <c r="AF6" s="102">
        <v>0</v>
      </c>
      <c r="AG6" s="120">
        <v>0</v>
      </c>
      <c r="AH6" s="98">
        <f t="shared" si="0"/>
        <v>0</v>
      </c>
      <c r="AI6" s="98">
        <v>0</v>
      </c>
      <c r="AJ6" s="98">
        <v>0</v>
      </c>
      <c r="AK6" s="99">
        <v>0</v>
      </c>
      <c r="AL6" s="99"/>
      <c r="AM6" s="99">
        <v>0</v>
      </c>
      <c r="AN6" s="99">
        <v>0</v>
      </c>
      <c r="AO6" s="99">
        <v>0</v>
      </c>
      <c r="AP6" s="96">
        <v>6700</v>
      </c>
      <c r="AQ6" s="97">
        <v>3350</v>
      </c>
      <c r="AR6" s="184" t="s">
        <v>94</v>
      </c>
      <c r="AS6" s="184" t="s">
        <v>94</v>
      </c>
      <c r="AT6" s="132">
        <f t="shared" si="1"/>
        <v>1134200</v>
      </c>
    </row>
    <row r="7" spans="1:46" x14ac:dyDescent="0.2">
      <c r="A7" s="103" t="s">
        <v>101</v>
      </c>
      <c r="B7" s="159" t="s">
        <v>102</v>
      </c>
      <c r="C7" s="159">
        <v>2025</v>
      </c>
      <c r="D7" s="103">
        <v>1</v>
      </c>
      <c r="E7" s="103">
        <v>2025</v>
      </c>
      <c r="F7" s="104">
        <v>5840868</v>
      </c>
      <c r="G7" s="104">
        <v>554882</v>
      </c>
      <c r="H7" s="104">
        <v>150000</v>
      </c>
      <c r="I7" s="104">
        <v>14250</v>
      </c>
      <c r="J7" s="104">
        <f t="shared" si="2"/>
        <v>6560000</v>
      </c>
      <c r="K7" s="104">
        <v>12000000</v>
      </c>
      <c r="L7" s="104">
        <v>0</v>
      </c>
      <c r="M7" s="104">
        <f>Table1[[#This Row],[Cofinancing]]-Table1[[#This Row],[Of which private]]</f>
        <v>12000000</v>
      </c>
      <c r="N7" s="104">
        <v>3059503</v>
      </c>
      <c r="O7" s="105">
        <f>Table1[[#This Row],[IPLC Financing]]/Table1[[#This Row],[Grant Cost (USD)]]</f>
        <v>0.52380964610054537</v>
      </c>
      <c r="P7" s="104">
        <f>Table1[[#This Row],[Grant Cost (USD)]]*Table1[[#This Row],[SIDS/LDC]]</f>
        <v>5840868</v>
      </c>
      <c r="Q7" s="90">
        <v>0</v>
      </c>
      <c r="R7" s="91">
        <v>0</v>
      </c>
      <c r="S7" s="91">
        <v>0</v>
      </c>
      <c r="T7" s="92">
        <v>0</v>
      </c>
      <c r="U7" s="93">
        <v>0</v>
      </c>
      <c r="V7" s="93">
        <v>0</v>
      </c>
      <c r="W7" s="94">
        <v>14000</v>
      </c>
      <c r="X7" s="95">
        <v>0</v>
      </c>
      <c r="Y7" s="95">
        <v>14000</v>
      </c>
      <c r="Z7" s="95">
        <v>0</v>
      </c>
      <c r="AA7" s="95">
        <v>0</v>
      </c>
      <c r="AB7" s="100">
        <v>350000</v>
      </c>
      <c r="AC7" s="101">
        <v>350000</v>
      </c>
      <c r="AD7" s="101">
        <v>0</v>
      </c>
      <c r="AE7" s="102">
        <v>0</v>
      </c>
      <c r="AF7" s="102">
        <v>0</v>
      </c>
      <c r="AG7" s="120">
        <v>0</v>
      </c>
      <c r="AH7" s="98">
        <f t="shared" si="0"/>
        <v>8616902</v>
      </c>
      <c r="AI7" s="98">
        <v>1348305</v>
      </c>
      <c r="AJ7" s="98">
        <v>7268597</v>
      </c>
      <c r="AK7" s="99">
        <v>1348305</v>
      </c>
      <c r="AL7" s="99">
        <v>7268597</v>
      </c>
      <c r="AM7" s="99">
        <v>0</v>
      </c>
      <c r="AN7" s="99">
        <v>0</v>
      </c>
      <c r="AO7" s="99">
        <v>0</v>
      </c>
      <c r="AP7" s="96">
        <v>50000</v>
      </c>
      <c r="AQ7" s="97">
        <v>25000</v>
      </c>
      <c r="AR7" s="184" t="s">
        <v>93</v>
      </c>
      <c r="AS7" s="184" t="s">
        <v>94</v>
      </c>
      <c r="AT7" s="132">
        <f t="shared" si="1"/>
        <v>364000</v>
      </c>
    </row>
    <row r="8" spans="1:46" x14ac:dyDescent="0.2">
      <c r="A8" s="103" t="s">
        <v>103</v>
      </c>
      <c r="B8" s="159" t="s">
        <v>104</v>
      </c>
      <c r="C8" s="159">
        <v>2025</v>
      </c>
      <c r="D8" s="103">
        <v>0</v>
      </c>
      <c r="E8" s="103">
        <v>2025</v>
      </c>
      <c r="F8" s="104">
        <v>11232110</v>
      </c>
      <c r="G8" s="104">
        <v>1010890</v>
      </c>
      <c r="H8" s="104">
        <v>300000</v>
      </c>
      <c r="I8" s="104">
        <v>27000</v>
      </c>
      <c r="J8" s="104">
        <f t="shared" si="2"/>
        <v>12570000</v>
      </c>
      <c r="K8" s="104">
        <v>30069315.43</v>
      </c>
      <c r="L8" s="104">
        <v>0</v>
      </c>
      <c r="M8" s="104">
        <f>Table1[[#This Row],[Cofinancing]]-Table1[[#This Row],[Of which private]]</f>
        <v>30069315.43</v>
      </c>
      <c r="N8" s="104">
        <v>2546717</v>
      </c>
      <c r="O8" s="105">
        <f>Table1[[#This Row],[IPLC Financing]]/Table1[[#This Row],[Grant Cost (USD)]]</f>
        <v>0.22673540412264481</v>
      </c>
      <c r="P8" s="104">
        <f>Table1[[#This Row],[Grant Cost (USD)]]*Table1[[#This Row],[SIDS/LDC]]</f>
        <v>0</v>
      </c>
      <c r="Q8" s="90">
        <v>542740.73</v>
      </c>
      <c r="R8" s="91">
        <v>67579.759999999995</v>
      </c>
      <c r="S8" s="91">
        <v>475160.97</v>
      </c>
      <c r="T8" s="92">
        <v>115675.89</v>
      </c>
      <c r="U8" s="93">
        <v>0</v>
      </c>
      <c r="V8" s="93">
        <v>115675.89</v>
      </c>
      <c r="W8" s="94">
        <v>1000</v>
      </c>
      <c r="X8" s="95">
        <v>0</v>
      </c>
      <c r="Y8" s="95">
        <v>1000</v>
      </c>
      <c r="Z8" s="95">
        <v>0</v>
      </c>
      <c r="AA8" s="95">
        <v>0</v>
      </c>
      <c r="AB8" s="100">
        <v>3939913.6</v>
      </c>
      <c r="AC8" s="101">
        <v>3939913.6</v>
      </c>
      <c r="AD8" s="101">
        <v>0</v>
      </c>
      <c r="AE8" s="102">
        <v>0</v>
      </c>
      <c r="AF8" s="102">
        <v>0</v>
      </c>
      <c r="AG8" s="120">
        <v>0</v>
      </c>
      <c r="AH8" s="98">
        <f t="shared" si="0"/>
        <v>347821</v>
      </c>
      <c r="AI8" s="98">
        <v>347821</v>
      </c>
      <c r="AJ8" s="98">
        <v>0</v>
      </c>
      <c r="AK8" s="99">
        <v>347821</v>
      </c>
      <c r="AL8" s="99">
        <v>0</v>
      </c>
      <c r="AM8" s="99">
        <v>0</v>
      </c>
      <c r="AN8" s="99">
        <v>0</v>
      </c>
      <c r="AO8" s="99">
        <v>0</v>
      </c>
      <c r="AP8" s="96">
        <v>13370</v>
      </c>
      <c r="AQ8" s="97">
        <v>6465</v>
      </c>
      <c r="AR8" s="184" t="s">
        <v>94</v>
      </c>
      <c r="AS8" s="184" t="s">
        <v>94</v>
      </c>
      <c r="AT8" s="132">
        <f t="shared" si="1"/>
        <v>4599330.22</v>
      </c>
    </row>
    <row r="9" spans="1:46" x14ac:dyDescent="0.2">
      <c r="A9" s="103" t="s">
        <v>105</v>
      </c>
      <c r="B9" s="159" t="s">
        <v>106</v>
      </c>
      <c r="C9" s="159">
        <v>2025</v>
      </c>
      <c r="D9" s="121">
        <f>1/3</f>
        <v>0.33333333333333331</v>
      </c>
      <c r="E9" s="103">
        <v>2025</v>
      </c>
      <c r="F9" s="104">
        <v>6460126</v>
      </c>
      <c r="G9" s="104">
        <v>581411</v>
      </c>
      <c r="H9" s="104">
        <v>199991</v>
      </c>
      <c r="I9" s="104">
        <v>17998</v>
      </c>
      <c r="J9" s="104">
        <f t="shared" si="2"/>
        <v>7259526</v>
      </c>
      <c r="K9" s="104">
        <v>464000</v>
      </c>
      <c r="L9" s="104">
        <v>0</v>
      </c>
      <c r="M9" s="104">
        <f>Table1[[#This Row],[Cofinancing]]-Table1[[#This Row],[Of which private]]</f>
        <v>464000</v>
      </c>
      <c r="N9" s="104">
        <v>1000000</v>
      </c>
      <c r="O9" s="105">
        <f>Table1[[#This Row],[IPLC Financing]]/Table1[[#This Row],[Grant Cost (USD)]]</f>
        <v>0.15479574237406515</v>
      </c>
      <c r="P9" s="104">
        <f>Table1[[#This Row],[Grant Cost (USD)]]*Table1[[#This Row],[SIDS/LDC]]</f>
        <v>2153375.333333333</v>
      </c>
      <c r="Q9" s="90">
        <v>1328275</v>
      </c>
      <c r="R9" s="91">
        <v>0</v>
      </c>
      <c r="S9" s="91">
        <v>1328275</v>
      </c>
      <c r="T9" s="92">
        <v>0</v>
      </c>
      <c r="U9" s="93">
        <v>0</v>
      </c>
      <c r="V9" s="93">
        <v>0</v>
      </c>
      <c r="W9" s="94">
        <v>0</v>
      </c>
      <c r="X9" s="95">
        <v>0</v>
      </c>
      <c r="Y9" s="95">
        <v>0</v>
      </c>
      <c r="Z9" s="95">
        <v>0</v>
      </c>
      <c r="AA9" s="95">
        <v>0</v>
      </c>
      <c r="AB9" s="100">
        <v>6000</v>
      </c>
      <c r="AC9" s="101">
        <v>6000</v>
      </c>
      <c r="AD9" s="101">
        <v>0</v>
      </c>
      <c r="AE9" s="102">
        <v>0</v>
      </c>
      <c r="AF9" s="102">
        <v>0</v>
      </c>
      <c r="AG9" s="120">
        <v>0</v>
      </c>
      <c r="AH9" s="98">
        <f t="shared" si="0"/>
        <v>6765287</v>
      </c>
      <c r="AI9" s="98">
        <v>6765287</v>
      </c>
      <c r="AJ9" s="98">
        <v>0</v>
      </c>
      <c r="AK9" s="99">
        <v>6765287</v>
      </c>
      <c r="AL9" s="99">
        <v>0</v>
      </c>
      <c r="AM9" s="99">
        <v>0</v>
      </c>
      <c r="AN9" s="99">
        <v>0</v>
      </c>
      <c r="AO9" s="99">
        <v>0</v>
      </c>
      <c r="AP9" s="96">
        <v>5500</v>
      </c>
      <c r="AQ9" s="97">
        <v>2200</v>
      </c>
      <c r="AR9" s="184" t="s">
        <v>94</v>
      </c>
      <c r="AS9" s="184" t="s">
        <v>94</v>
      </c>
      <c r="AT9" s="132">
        <f t="shared" si="1"/>
        <v>1334275</v>
      </c>
    </row>
    <row r="10" spans="1:46" x14ac:dyDescent="0.2">
      <c r="A10" s="103" t="s">
        <v>107</v>
      </c>
      <c r="B10" s="159" t="s">
        <v>108</v>
      </c>
      <c r="C10" s="159">
        <v>2026</v>
      </c>
      <c r="D10" s="183">
        <v>1</v>
      </c>
      <c r="E10" s="103">
        <v>2026</v>
      </c>
      <c r="F10" s="104">
        <v>2827169</v>
      </c>
      <c r="G10" s="104">
        <v>268581</v>
      </c>
      <c r="H10" s="104">
        <v>150000</v>
      </c>
      <c r="I10" s="104">
        <v>14250</v>
      </c>
      <c r="J10" s="104">
        <f t="shared" ref="J10:J28" si="3">SUM(F10:I10)</f>
        <v>3260000</v>
      </c>
      <c r="K10" s="104">
        <f>3800300+415000+1015000+100000+306700</f>
        <v>5637000</v>
      </c>
      <c r="L10" s="104">
        <v>2000000</v>
      </c>
      <c r="M10" s="104">
        <f>Table1[[#This Row],[Cofinancing]]-Table1[[#This Row],[Of which private]]</f>
        <v>3637000</v>
      </c>
      <c r="N10" s="104">
        <v>1500142</v>
      </c>
      <c r="O10" s="105">
        <f>Table1[[#This Row],[IPLC Financing]]/Table1[[#This Row],[Grant Cost (USD)]]</f>
        <v>0.53061631618060323</v>
      </c>
      <c r="P10" s="104">
        <f>Table1[[#This Row],[Grant Cost (USD)]]*Table1[[#This Row],[SIDS/LDC]]</f>
        <v>2827169</v>
      </c>
      <c r="Q10" s="90">
        <v>996000</v>
      </c>
      <c r="R10" s="91" t="s">
        <v>109</v>
      </c>
      <c r="S10" s="91">
        <v>996000</v>
      </c>
      <c r="T10" s="92">
        <v>0</v>
      </c>
      <c r="U10" s="93">
        <v>0</v>
      </c>
      <c r="V10" s="93">
        <v>0</v>
      </c>
      <c r="W10" s="94">
        <v>0</v>
      </c>
      <c r="X10" s="95">
        <v>0</v>
      </c>
      <c r="Y10" s="95">
        <v>0</v>
      </c>
      <c r="Z10" s="95">
        <v>0</v>
      </c>
      <c r="AA10" s="95">
        <v>0</v>
      </c>
      <c r="AB10" s="100">
        <v>0</v>
      </c>
      <c r="AC10" s="101">
        <v>0</v>
      </c>
      <c r="AD10" s="101">
        <v>0</v>
      </c>
      <c r="AE10" s="102">
        <v>0</v>
      </c>
      <c r="AF10" s="102">
        <v>0</v>
      </c>
      <c r="AG10" s="120">
        <v>0</v>
      </c>
      <c r="AH10" s="98">
        <v>0</v>
      </c>
      <c r="AI10" s="98">
        <v>0</v>
      </c>
      <c r="AJ10" s="98">
        <v>0</v>
      </c>
      <c r="AK10" s="99">
        <v>0</v>
      </c>
      <c r="AL10" s="99">
        <v>0</v>
      </c>
      <c r="AM10" s="99">
        <v>0</v>
      </c>
      <c r="AN10" s="99">
        <v>0</v>
      </c>
      <c r="AO10" s="99">
        <v>0</v>
      </c>
      <c r="AP10" s="96">
        <v>10250</v>
      </c>
      <c r="AQ10" s="97">
        <v>5270</v>
      </c>
      <c r="AR10" s="184" t="s">
        <v>94</v>
      </c>
      <c r="AS10" s="184" t="s">
        <v>94</v>
      </c>
      <c r="AT10" s="132">
        <f t="shared" si="1"/>
        <v>996000</v>
      </c>
    </row>
    <row r="11" spans="1:46" x14ac:dyDescent="0.2">
      <c r="A11" s="103" t="s">
        <v>110</v>
      </c>
      <c r="B11" s="159" t="s">
        <v>111</v>
      </c>
      <c r="C11" s="159">
        <v>2026</v>
      </c>
      <c r="D11" s="183">
        <v>1</v>
      </c>
      <c r="E11" s="103">
        <v>2025</v>
      </c>
      <c r="F11" s="104">
        <v>1009361</v>
      </c>
      <c r="G11" s="104">
        <v>95889</v>
      </c>
      <c r="H11" s="104">
        <v>50000</v>
      </c>
      <c r="I11" s="104">
        <v>4750</v>
      </c>
      <c r="J11" s="104">
        <f t="shared" si="3"/>
        <v>1160000</v>
      </c>
      <c r="K11" s="104">
        <v>0</v>
      </c>
      <c r="L11" s="104">
        <v>0</v>
      </c>
      <c r="M11" s="104">
        <f>Table1[[#This Row],[Cofinancing]]-Table1[[#This Row],[Of which private]]</f>
        <v>0</v>
      </c>
      <c r="N11" s="104">
        <f>201872.2</f>
        <v>201872.2</v>
      </c>
      <c r="O11" s="105">
        <f>Table1[[#This Row],[IPLC Financing]]/Table1[[#This Row],[Grant Cost (USD)]]</f>
        <v>0.2</v>
      </c>
      <c r="P11" s="104">
        <f>Table1[[#This Row],[Grant Cost (USD)]]*Table1[[#This Row],[SIDS/LDC]]</f>
        <v>1009361</v>
      </c>
      <c r="Q11" s="90">
        <v>0</v>
      </c>
      <c r="R11" s="91">
        <v>0</v>
      </c>
      <c r="S11" s="91">
        <v>0</v>
      </c>
      <c r="T11" s="92">
        <v>0</v>
      </c>
      <c r="U11" s="93">
        <v>0</v>
      </c>
      <c r="V11" s="93">
        <v>0</v>
      </c>
      <c r="W11" s="94">
        <v>0</v>
      </c>
      <c r="X11" s="95">
        <v>0</v>
      </c>
      <c r="Y11" s="95">
        <v>0</v>
      </c>
      <c r="Z11" s="95">
        <v>0</v>
      </c>
      <c r="AA11" s="95">
        <v>0</v>
      </c>
      <c r="AB11" s="100">
        <v>0</v>
      </c>
      <c r="AC11" s="101">
        <v>0</v>
      </c>
      <c r="AD11" s="101">
        <v>0</v>
      </c>
      <c r="AE11" s="102">
        <v>0</v>
      </c>
      <c r="AF11" s="102">
        <v>0</v>
      </c>
      <c r="AG11" s="120">
        <v>0</v>
      </c>
      <c r="AH11" s="98"/>
      <c r="AI11" s="98">
        <v>0</v>
      </c>
      <c r="AJ11" s="98">
        <v>0</v>
      </c>
      <c r="AK11" s="99">
        <v>0</v>
      </c>
      <c r="AL11" s="99">
        <v>0</v>
      </c>
      <c r="AM11" s="99">
        <v>0</v>
      </c>
      <c r="AN11" s="99">
        <v>0</v>
      </c>
      <c r="AO11" s="99">
        <v>0</v>
      </c>
      <c r="AP11" s="96">
        <v>200</v>
      </c>
      <c r="AQ11" s="97">
        <v>100</v>
      </c>
      <c r="AR11" s="184" t="s">
        <v>93</v>
      </c>
      <c r="AS11" s="184" t="s">
        <v>94</v>
      </c>
      <c r="AT11" s="132">
        <f t="shared" si="1"/>
        <v>0</v>
      </c>
    </row>
    <row r="12" spans="1:46" x14ac:dyDescent="0.2">
      <c r="A12" s="103" t="s">
        <v>112</v>
      </c>
      <c r="B12" s="159" t="s">
        <v>113</v>
      </c>
      <c r="C12" s="159">
        <v>2026</v>
      </c>
      <c r="D12" s="183">
        <v>1</v>
      </c>
      <c r="E12" s="103">
        <v>2025</v>
      </c>
      <c r="F12" s="104">
        <v>1182877</v>
      </c>
      <c r="G12" s="104">
        <v>112373</v>
      </c>
      <c r="H12" s="104">
        <v>50000</v>
      </c>
      <c r="I12" s="104">
        <v>4750</v>
      </c>
      <c r="J12" s="104">
        <f t="shared" si="3"/>
        <v>1350000</v>
      </c>
      <c r="K12" s="104">
        <v>0</v>
      </c>
      <c r="L12" s="104">
        <v>0</v>
      </c>
      <c r="M12" s="104">
        <f>Table1[[#This Row],[Cofinancing]]-Table1[[#This Row],[Of which private]]</f>
        <v>0</v>
      </c>
      <c r="N12" s="104">
        <v>424383</v>
      </c>
      <c r="O12" s="105">
        <f>Table1[[#This Row],[IPLC Financing]]/Table1[[#This Row],[Grant Cost (USD)]]</f>
        <v>0.35877187568952645</v>
      </c>
      <c r="P12" s="104">
        <f>Table1[[#This Row],[Grant Cost (USD)]]*Table1[[#This Row],[SIDS/LDC]]</f>
        <v>1182877</v>
      </c>
      <c r="Q12" s="90">
        <v>0</v>
      </c>
      <c r="R12" s="91">
        <v>0</v>
      </c>
      <c r="S12" s="91">
        <v>0</v>
      </c>
      <c r="T12" s="92">
        <v>0</v>
      </c>
      <c r="U12" s="93">
        <v>0</v>
      </c>
      <c r="V12" s="93">
        <v>0</v>
      </c>
      <c r="W12" s="94">
        <v>4</v>
      </c>
      <c r="X12" s="95">
        <v>0</v>
      </c>
      <c r="Y12" s="95">
        <v>4</v>
      </c>
      <c r="Z12" s="95">
        <v>0</v>
      </c>
      <c r="AA12" s="95">
        <v>0</v>
      </c>
      <c r="AB12" s="100">
        <v>3000</v>
      </c>
      <c r="AC12" s="101">
        <v>3000</v>
      </c>
      <c r="AD12" s="101">
        <v>0</v>
      </c>
      <c r="AE12" s="102">
        <v>0</v>
      </c>
      <c r="AF12" s="102">
        <v>0</v>
      </c>
      <c r="AG12" s="120">
        <v>0</v>
      </c>
      <c r="AH12" s="98">
        <v>355676</v>
      </c>
      <c r="AI12" s="98">
        <v>0</v>
      </c>
      <c r="AJ12" s="98">
        <v>355676</v>
      </c>
      <c r="AK12" s="99">
        <v>0</v>
      </c>
      <c r="AL12" s="99">
        <v>0</v>
      </c>
      <c r="AM12" s="99">
        <v>0</v>
      </c>
      <c r="AN12" s="99">
        <v>0</v>
      </c>
      <c r="AO12" s="99">
        <v>0</v>
      </c>
      <c r="AP12" s="96">
        <v>5000</v>
      </c>
      <c r="AQ12" s="97">
        <v>2500</v>
      </c>
      <c r="AR12" s="184" t="s">
        <v>94</v>
      </c>
      <c r="AS12" s="184" t="s">
        <v>94</v>
      </c>
      <c r="AT12" s="132">
        <f t="shared" si="1"/>
        <v>3004</v>
      </c>
    </row>
    <row r="13" spans="1:46" x14ac:dyDescent="0.2">
      <c r="A13" s="103" t="s">
        <v>114</v>
      </c>
      <c r="B13" s="159" t="s">
        <v>115</v>
      </c>
      <c r="C13" s="159">
        <v>2026</v>
      </c>
      <c r="D13" s="183">
        <v>0</v>
      </c>
      <c r="E13" s="103">
        <v>2026</v>
      </c>
      <c r="F13" s="104">
        <v>14429803</v>
      </c>
      <c r="G13" s="104">
        <v>1298682</v>
      </c>
      <c r="H13" s="104">
        <v>300000</v>
      </c>
      <c r="I13" s="104">
        <v>27000</v>
      </c>
      <c r="J13" s="104">
        <f t="shared" si="3"/>
        <v>16055485</v>
      </c>
      <c r="K13" s="104">
        <v>32764615</v>
      </c>
      <c r="L13" s="104">
        <f>1150000+850000+206285+1000000+1900000+187986</f>
        <v>5294271</v>
      </c>
      <c r="M13" s="104">
        <f>Table1[[#This Row],[Cofinancing]]-Table1[[#This Row],[Of which private]]</f>
        <v>27470344</v>
      </c>
      <c r="N13" s="104">
        <v>4190347</v>
      </c>
      <c r="O13" s="105">
        <f>Table1[[#This Row],[IPLC Financing]]/Table1[[#This Row],[Grant Cost (USD)]]</f>
        <v>0.29039530200100444</v>
      </c>
      <c r="P13" s="104">
        <f>Table1[[#This Row],[Grant Cost (USD)]]*Table1[[#This Row],[SIDS/LDC]]</f>
        <v>0</v>
      </c>
      <c r="Q13" s="90">
        <v>215147.56</v>
      </c>
      <c r="R13" s="91">
        <v>0</v>
      </c>
      <c r="S13" s="91">
        <v>215148.56</v>
      </c>
      <c r="T13" s="92">
        <v>404296.36</v>
      </c>
      <c r="U13" s="93"/>
      <c r="V13" s="93">
        <v>404296.36</v>
      </c>
      <c r="W13" s="94">
        <v>675</v>
      </c>
      <c r="X13" s="95">
        <v>0</v>
      </c>
      <c r="Y13" s="95">
        <v>0</v>
      </c>
      <c r="Z13" s="95">
        <v>0</v>
      </c>
      <c r="AA13" s="95">
        <v>675</v>
      </c>
      <c r="AB13" s="100">
        <v>482984.27</v>
      </c>
      <c r="AC13" s="101">
        <v>482984.27</v>
      </c>
      <c r="AD13" s="101">
        <v>0</v>
      </c>
      <c r="AE13" s="102">
        <v>0</v>
      </c>
      <c r="AF13" s="102">
        <v>0</v>
      </c>
      <c r="AG13" s="120">
        <v>535270</v>
      </c>
      <c r="AH13" s="98">
        <f>SUM(AI13:AJ13)</f>
        <v>6875428.4000000004</v>
      </c>
      <c r="AI13" s="98">
        <v>311850</v>
      </c>
      <c r="AJ13" s="98">
        <v>6563578.4000000004</v>
      </c>
      <c r="AK13" s="99">
        <v>0</v>
      </c>
      <c r="AL13" s="99">
        <v>0</v>
      </c>
      <c r="AM13" s="99">
        <v>0</v>
      </c>
      <c r="AN13" s="99">
        <v>0</v>
      </c>
      <c r="AO13" s="99">
        <v>0</v>
      </c>
      <c r="AP13" s="96">
        <v>3860</v>
      </c>
      <c r="AQ13" s="97">
        <v>2007</v>
      </c>
      <c r="AR13" s="184" t="s">
        <v>93</v>
      </c>
      <c r="AS13" s="184" t="s">
        <v>93</v>
      </c>
      <c r="AT13" s="132">
        <f t="shared" si="1"/>
        <v>1638373.19</v>
      </c>
    </row>
    <row r="14" spans="1:46" x14ac:dyDescent="0.2">
      <c r="A14" s="103" t="s">
        <v>116</v>
      </c>
      <c r="B14" s="159" t="s">
        <v>117</v>
      </c>
      <c r="C14" s="159">
        <v>2026</v>
      </c>
      <c r="D14" s="183">
        <v>0</v>
      </c>
      <c r="E14" s="103">
        <v>2026</v>
      </c>
      <c r="F14" s="104">
        <v>3565596</v>
      </c>
      <c r="G14" s="104">
        <v>320904</v>
      </c>
      <c r="H14" s="104">
        <v>150000</v>
      </c>
      <c r="I14" s="104">
        <v>13500</v>
      </c>
      <c r="J14" s="104">
        <f t="shared" si="3"/>
        <v>4050000</v>
      </c>
      <c r="K14" s="104">
        <v>921622</v>
      </c>
      <c r="L14" s="104">
        <v>80000</v>
      </c>
      <c r="M14" s="104">
        <f>Table1[[#This Row],[Cofinancing]]-Table1[[#This Row],[Of which private]]</f>
        <v>841622</v>
      </c>
      <c r="N14" s="104">
        <v>1254038</v>
      </c>
      <c r="O14" s="105">
        <f>Table1[[#This Row],[IPLC Financing]]/Table1[[#This Row],[Grant Cost (USD)]]</f>
        <v>0.35170501649654085</v>
      </c>
      <c r="P14" s="104">
        <f>Table1[[#This Row],[Grant Cost (USD)]]*Table1[[#This Row],[SIDS/LDC]]</f>
        <v>0</v>
      </c>
      <c r="Q14" s="90">
        <v>0</v>
      </c>
      <c r="R14" s="91">
        <v>0</v>
      </c>
      <c r="S14" s="91">
        <v>0</v>
      </c>
      <c r="T14" s="92">
        <v>28650</v>
      </c>
      <c r="U14" s="93">
        <v>0</v>
      </c>
      <c r="V14" s="93">
        <v>28650</v>
      </c>
      <c r="W14" s="94">
        <v>0</v>
      </c>
      <c r="X14" s="95">
        <v>0</v>
      </c>
      <c r="Y14" s="95">
        <v>0</v>
      </c>
      <c r="Z14" s="95">
        <v>0</v>
      </c>
      <c r="AA14" s="95">
        <v>0</v>
      </c>
      <c r="AB14" s="100">
        <v>300</v>
      </c>
      <c r="AC14" s="101">
        <v>300</v>
      </c>
      <c r="AD14" s="101">
        <v>0</v>
      </c>
      <c r="AE14" s="102">
        <v>0</v>
      </c>
      <c r="AF14" s="102">
        <v>0</v>
      </c>
      <c r="AG14" s="120">
        <v>26000</v>
      </c>
      <c r="AH14" s="98">
        <f>SUM(AI14:AJ14)</f>
        <v>0</v>
      </c>
      <c r="AI14" s="98">
        <v>0</v>
      </c>
      <c r="AJ14" s="98">
        <v>0</v>
      </c>
      <c r="AK14" s="99">
        <v>0</v>
      </c>
      <c r="AL14" s="99">
        <v>0</v>
      </c>
      <c r="AM14" s="99">
        <v>0</v>
      </c>
      <c r="AN14" s="99">
        <v>0</v>
      </c>
      <c r="AO14" s="99">
        <v>0</v>
      </c>
      <c r="AP14" s="96">
        <v>2224</v>
      </c>
      <c r="AQ14" s="97">
        <v>912</v>
      </c>
      <c r="AR14" s="184" t="s">
        <v>93</v>
      </c>
      <c r="AS14" s="184" t="s">
        <v>94</v>
      </c>
      <c r="AT14" s="132">
        <f t="shared" si="1"/>
        <v>54950</v>
      </c>
    </row>
    <row r="15" spans="1:46" x14ac:dyDescent="0.2">
      <c r="A15" s="103" t="s">
        <v>118</v>
      </c>
      <c r="B15" s="159" t="s">
        <v>119</v>
      </c>
      <c r="C15" s="159">
        <v>2026</v>
      </c>
      <c r="D15" s="183">
        <v>1</v>
      </c>
      <c r="E15" s="103">
        <v>2026</v>
      </c>
      <c r="F15" s="104">
        <v>1875974</v>
      </c>
      <c r="G15" s="104">
        <v>178218</v>
      </c>
      <c r="H15" s="104">
        <v>50000</v>
      </c>
      <c r="I15" s="104">
        <v>4750</v>
      </c>
      <c r="J15" s="104">
        <f t="shared" si="3"/>
        <v>2108942</v>
      </c>
      <c r="K15" s="104">
        <v>0</v>
      </c>
      <c r="L15" s="104">
        <v>0</v>
      </c>
      <c r="M15" s="104">
        <f>Table1[[#This Row],[Cofinancing]]-Table1[[#This Row],[Of which private]]</f>
        <v>0</v>
      </c>
      <c r="N15" s="104">
        <v>0</v>
      </c>
      <c r="O15" s="105">
        <f>Table1[[#This Row],[IPLC Financing]]/Table1[[#This Row],[Grant Cost (USD)]]</f>
        <v>0</v>
      </c>
      <c r="P15" s="104">
        <f>Table1[[#This Row],[Grant Cost (USD)]]*Table1[[#This Row],[SIDS/LDC]]</f>
        <v>1875974</v>
      </c>
      <c r="Q15" s="90">
        <v>0</v>
      </c>
      <c r="R15" s="91">
        <v>0</v>
      </c>
      <c r="S15" s="91">
        <v>0</v>
      </c>
      <c r="T15" s="92">
        <v>0</v>
      </c>
      <c r="U15" s="93">
        <v>0</v>
      </c>
      <c r="V15" s="93">
        <v>0</v>
      </c>
      <c r="W15" s="94">
        <v>0</v>
      </c>
      <c r="X15" s="95">
        <v>0</v>
      </c>
      <c r="Y15" s="95">
        <v>0</v>
      </c>
      <c r="Z15" s="95">
        <v>0</v>
      </c>
      <c r="AA15" s="95">
        <v>0</v>
      </c>
      <c r="AB15" s="100">
        <v>18118</v>
      </c>
      <c r="AC15" s="101">
        <v>18118</v>
      </c>
      <c r="AD15" s="101">
        <v>0</v>
      </c>
      <c r="AE15" s="102">
        <v>0</v>
      </c>
      <c r="AF15" s="102">
        <v>0</v>
      </c>
      <c r="AG15" s="120">
        <v>1940</v>
      </c>
      <c r="AH15" s="98">
        <f>SUM(AI15:AJ15)</f>
        <v>0</v>
      </c>
      <c r="AI15" s="98">
        <v>0</v>
      </c>
      <c r="AJ15" s="98">
        <v>0</v>
      </c>
      <c r="AK15" s="99">
        <v>0</v>
      </c>
      <c r="AL15" s="99">
        <v>0</v>
      </c>
      <c r="AM15" s="99">
        <v>0</v>
      </c>
      <c r="AN15" s="99">
        <v>0</v>
      </c>
      <c r="AO15" s="99">
        <v>0</v>
      </c>
      <c r="AP15" s="96">
        <v>500</v>
      </c>
      <c r="AQ15" s="97">
        <v>250</v>
      </c>
      <c r="AR15" s="184" t="s">
        <v>93</v>
      </c>
      <c r="AS15" s="184" t="s">
        <v>94</v>
      </c>
      <c r="AT15" s="132">
        <f t="shared" si="1"/>
        <v>20058</v>
      </c>
    </row>
    <row r="16" spans="1:46" x14ac:dyDescent="0.2">
      <c r="A16" s="103" t="s">
        <v>120</v>
      </c>
      <c r="B16" s="159" t="s">
        <v>121</v>
      </c>
      <c r="C16" s="159">
        <v>2026</v>
      </c>
      <c r="D16" s="183">
        <v>1</v>
      </c>
      <c r="E16" s="103">
        <v>2026</v>
      </c>
      <c r="F16" s="104">
        <v>3795205</v>
      </c>
      <c r="G16" s="104">
        <v>360544</v>
      </c>
      <c r="H16" s="104">
        <v>150000</v>
      </c>
      <c r="I16" s="104">
        <v>14250</v>
      </c>
      <c r="J16" s="104">
        <f t="shared" si="3"/>
        <v>4319999</v>
      </c>
      <c r="K16" s="104">
        <v>13200000</v>
      </c>
      <c r="L16" s="104">
        <v>0</v>
      </c>
      <c r="M16" s="104">
        <f>Table1[[#This Row],[Cofinancing]]-Table1[[#This Row],[Of which private]]</f>
        <v>13200000</v>
      </c>
      <c r="N16" s="104">
        <v>1414776</v>
      </c>
      <c r="O16" s="105">
        <f>Table1[[#This Row],[IPLC Financing]]/Table1[[#This Row],[Grant Cost (USD)]]</f>
        <v>0.37277986301135246</v>
      </c>
      <c r="P16" s="104">
        <f>Table1[[#This Row],[Grant Cost (USD)]]*Table1[[#This Row],[SIDS/LDC]]</f>
        <v>3795205</v>
      </c>
      <c r="Q16" s="90">
        <v>203978</v>
      </c>
      <c r="R16" s="91">
        <v>7600</v>
      </c>
      <c r="S16" s="91">
        <v>196378</v>
      </c>
      <c r="T16" s="92">
        <v>0</v>
      </c>
      <c r="U16" s="93">
        <v>0</v>
      </c>
      <c r="V16" s="93">
        <v>0</v>
      </c>
      <c r="W16" s="94">
        <v>40000</v>
      </c>
      <c r="X16" s="95">
        <v>8500</v>
      </c>
      <c r="Y16" s="95">
        <v>10500</v>
      </c>
      <c r="Z16" s="95">
        <f>7500+5000</f>
        <v>12500</v>
      </c>
      <c r="AA16" s="95">
        <v>8500</v>
      </c>
      <c r="AB16" s="100">
        <v>42000</v>
      </c>
      <c r="AC16" s="101">
        <v>0</v>
      </c>
      <c r="AD16" s="101">
        <v>0</v>
      </c>
      <c r="AE16" s="102">
        <v>42000</v>
      </c>
      <c r="AF16" s="102">
        <v>0</v>
      </c>
      <c r="AG16" s="120">
        <v>0</v>
      </c>
      <c r="AH16" s="98">
        <f>SUM(AI16:AJ16)</f>
        <v>3725503</v>
      </c>
      <c r="AI16" s="98">
        <v>3725503</v>
      </c>
      <c r="AJ16" s="98">
        <v>0</v>
      </c>
      <c r="AK16" s="99">
        <v>0</v>
      </c>
      <c r="AL16" s="99">
        <v>0</v>
      </c>
      <c r="AM16" s="99">
        <v>0</v>
      </c>
      <c r="AN16" s="99">
        <v>0</v>
      </c>
      <c r="AO16" s="99">
        <v>0</v>
      </c>
      <c r="AP16" s="96">
        <v>9000</v>
      </c>
      <c r="AQ16" s="97">
        <v>4500</v>
      </c>
      <c r="AR16" s="184" t="s">
        <v>93</v>
      </c>
      <c r="AS16" s="184" t="s">
        <v>94</v>
      </c>
      <c r="AT16" s="132">
        <f t="shared" si="1"/>
        <v>285978</v>
      </c>
    </row>
    <row r="17" spans="1:46" x14ac:dyDescent="0.2">
      <c r="A17" s="103" t="s">
        <v>122</v>
      </c>
      <c r="B17" s="159" t="s">
        <v>123</v>
      </c>
      <c r="C17" s="159">
        <v>2026</v>
      </c>
      <c r="D17" s="183">
        <v>0</v>
      </c>
      <c r="E17" s="103">
        <v>2026</v>
      </c>
      <c r="F17" s="104">
        <v>6192695</v>
      </c>
      <c r="G17" s="104">
        <v>588305</v>
      </c>
      <c r="H17" s="104">
        <v>200000</v>
      </c>
      <c r="I17" s="104">
        <v>19000</v>
      </c>
      <c r="J17" s="104">
        <f t="shared" si="3"/>
        <v>7000000</v>
      </c>
      <c r="K17" s="104">
        <v>21000000</v>
      </c>
      <c r="L17" s="104">
        <v>0</v>
      </c>
      <c r="M17" s="104">
        <f>Table1[[#This Row],[Cofinancing]]-Table1[[#This Row],[Of which private]]</f>
        <v>21000000</v>
      </c>
      <c r="N17" s="104">
        <v>1363000</v>
      </c>
      <c r="O17" s="105">
        <f>Table1[[#This Row],[IPLC Financing]]/Table1[[#This Row],[Grant Cost (USD)]]</f>
        <v>0.2200980348620431</v>
      </c>
      <c r="P17" s="104">
        <f>Table1[[#This Row],[Grant Cost (USD)]]*Table1[[#This Row],[SIDS/LDC]]</f>
        <v>0</v>
      </c>
      <c r="Q17" s="90">
        <v>611650</v>
      </c>
      <c r="R17" s="91">
        <v>0</v>
      </c>
      <c r="S17" s="91">
        <v>611650</v>
      </c>
      <c r="T17" s="92">
        <v>1320987</v>
      </c>
      <c r="U17" s="93">
        <v>0</v>
      </c>
      <c r="V17" s="93">
        <v>1320987</v>
      </c>
      <c r="W17" s="94">
        <v>0</v>
      </c>
      <c r="X17" s="95">
        <v>0</v>
      </c>
      <c r="Y17" s="95">
        <v>0</v>
      </c>
      <c r="Z17" s="95">
        <v>0</v>
      </c>
      <c r="AA17" s="95">
        <v>0</v>
      </c>
      <c r="AB17" s="100">
        <v>0</v>
      </c>
      <c r="AC17" s="101">
        <v>0</v>
      </c>
      <c r="AD17" s="101">
        <v>0</v>
      </c>
      <c r="AE17" s="102">
        <v>0</v>
      </c>
      <c r="AF17" s="102">
        <v>0</v>
      </c>
      <c r="AG17" s="120">
        <v>0</v>
      </c>
      <c r="AH17" s="98">
        <v>0</v>
      </c>
      <c r="AI17" s="98">
        <v>0</v>
      </c>
      <c r="AJ17" s="98">
        <v>0</v>
      </c>
      <c r="AK17" s="99">
        <v>0</v>
      </c>
      <c r="AL17" s="99">
        <v>0</v>
      </c>
      <c r="AM17" s="99">
        <v>0</v>
      </c>
      <c r="AN17" s="99">
        <v>0</v>
      </c>
      <c r="AO17" s="99">
        <v>0</v>
      </c>
      <c r="AP17" s="96">
        <v>6000</v>
      </c>
      <c r="AQ17" s="97">
        <v>2400</v>
      </c>
      <c r="AR17" s="184" t="s">
        <v>94</v>
      </c>
      <c r="AS17" s="184" t="s">
        <v>94</v>
      </c>
      <c r="AT17" s="132">
        <f t="shared" si="1"/>
        <v>1932637</v>
      </c>
    </row>
    <row r="18" spans="1:46" x14ac:dyDescent="0.2">
      <c r="A18" s="103" t="s">
        <v>124</v>
      </c>
      <c r="B18" s="159" t="s">
        <v>125</v>
      </c>
      <c r="C18" s="159">
        <v>2026</v>
      </c>
      <c r="D18" s="183">
        <v>0</v>
      </c>
      <c r="E18" s="103">
        <v>2025</v>
      </c>
      <c r="F18" s="104">
        <v>744521</v>
      </c>
      <c r="G18" s="104">
        <v>70729</v>
      </c>
      <c r="H18" s="104">
        <v>50000</v>
      </c>
      <c r="I18" s="104">
        <v>4750</v>
      </c>
      <c r="J18" s="104">
        <f t="shared" si="3"/>
        <v>870000</v>
      </c>
      <c r="K18" s="104">
        <v>120000</v>
      </c>
      <c r="L18" s="104">
        <v>0</v>
      </c>
      <c r="M18" s="104">
        <f>Table1[[#This Row],[Cofinancing]]-Table1[[#This Row],[Of which private]]</f>
        <v>120000</v>
      </c>
      <c r="N18" s="104">
        <v>151130.25</v>
      </c>
      <c r="O18" s="105">
        <f>Table1[[#This Row],[IPLC Financing]]/Table1[[#This Row],[Grant Cost (USD)]]</f>
        <v>0.20298990894816937</v>
      </c>
      <c r="P18" s="104">
        <f>Table1[[#This Row],[Grant Cost (USD)]]*Table1[[#This Row],[SIDS/LDC]]</f>
        <v>0</v>
      </c>
      <c r="Q18" s="90">
        <v>0</v>
      </c>
      <c r="R18" s="91">
        <v>0</v>
      </c>
      <c r="S18" s="91">
        <v>0</v>
      </c>
      <c r="T18" s="92">
        <v>0</v>
      </c>
      <c r="U18" s="93">
        <v>0</v>
      </c>
      <c r="V18" s="93">
        <v>0</v>
      </c>
      <c r="W18" s="94">
        <v>120</v>
      </c>
      <c r="X18" s="95">
        <v>0</v>
      </c>
      <c r="Y18" s="95">
        <v>120</v>
      </c>
      <c r="Z18" s="95">
        <v>0</v>
      </c>
      <c r="AA18" s="95">
        <v>0</v>
      </c>
      <c r="AB18" s="100">
        <v>220</v>
      </c>
      <c r="AC18" s="101">
        <v>0</v>
      </c>
      <c r="AD18" s="101">
        <v>0</v>
      </c>
      <c r="AE18" s="102">
        <v>220</v>
      </c>
      <c r="AF18" s="102">
        <v>0</v>
      </c>
      <c r="AG18" s="120">
        <v>0</v>
      </c>
      <c r="AH18" s="98">
        <f>SUM(AI18:AJ18)</f>
        <v>23363</v>
      </c>
      <c r="AI18" s="98">
        <v>23363</v>
      </c>
      <c r="AJ18" s="98">
        <v>0</v>
      </c>
      <c r="AK18" s="99">
        <v>0</v>
      </c>
      <c r="AL18" s="99">
        <v>0</v>
      </c>
      <c r="AM18" s="99">
        <v>0</v>
      </c>
      <c r="AN18" s="99">
        <v>0</v>
      </c>
      <c r="AO18" s="99">
        <v>0</v>
      </c>
      <c r="AP18" s="96">
        <v>400</v>
      </c>
      <c r="AQ18" s="97">
        <v>200</v>
      </c>
      <c r="AR18" s="184" t="s">
        <v>93</v>
      </c>
      <c r="AS18" s="184" t="s">
        <v>94</v>
      </c>
      <c r="AT18" s="132">
        <f t="shared" si="1"/>
        <v>340</v>
      </c>
    </row>
    <row r="19" spans="1:46" x14ac:dyDescent="0.2">
      <c r="A19" s="103" t="s">
        <v>126</v>
      </c>
      <c r="B19" s="159" t="s">
        <v>127</v>
      </c>
      <c r="C19" s="159">
        <v>2026</v>
      </c>
      <c r="D19" s="183">
        <v>1</v>
      </c>
      <c r="E19" s="103">
        <v>2026</v>
      </c>
      <c r="F19" s="104">
        <v>1739954</v>
      </c>
      <c r="G19" s="104">
        <v>165296</v>
      </c>
      <c r="H19" s="104">
        <v>50000</v>
      </c>
      <c r="I19" s="104">
        <v>4750</v>
      </c>
      <c r="J19" s="104">
        <f t="shared" si="3"/>
        <v>1960000</v>
      </c>
      <c r="K19" s="104">
        <v>700000</v>
      </c>
      <c r="L19" s="104">
        <v>0</v>
      </c>
      <c r="M19" s="104">
        <f>Table1[[#This Row],[Cofinancing]]-Table1[[#This Row],[Of which private]]</f>
        <v>700000</v>
      </c>
      <c r="N19" s="104">
        <v>777333</v>
      </c>
      <c r="O19" s="105">
        <f>Table1[[#This Row],[IPLC Financing]]/Table1[[#This Row],[Grant Cost (USD)]]</f>
        <v>0.44675491421037566</v>
      </c>
      <c r="P19" s="104">
        <f>Table1[[#This Row],[Grant Cost (USD)]]*Table1[[#This Row],[SIDS/LDC]]</f>
        <v>1739954</v>
      </c>
      <c r="Q19" s="90">
        <v>0</v>
      </c>
      <c r="R19" s="91">
        <v>0</v>
      </c>
      <c r="S19" s="91">
        <v>0</v>
      </c>
      <c r="T19" s="92">
        <v>0</v>
      </c>
      <c r="U19" s="93">
        <v>0</v>
      </c>
      <c r="V19" s="93">
        <v>0</v>
      </c>
      <c r="W19" s="94">
        <v>3000</v>
      </c>
      <c r="X19" s="95">
        <v>0</v>
      </c>
      <c r="Y19" s="95">
        <v>3000</v>
      </c>
      <c r="Z19" s="95">
        <v>0</v>
      </c>
      <c r="AA19" s="95">
        <v>0</v>
      </c>
      <c r="AB19" s="100">
        <v>9000</v>
      </c>
      <c r="AC19" s="101">
        <v>9000</v>
      </c>
      <c r="AD19" s="101">
        <v>0</v>
      </c>
      <c r="AE19" s="102">
        <v>0</v>
      </c>
      <c r="AF19" s="102">
        <v>0</v>
      </c>
      <c r="AG19" s="120">
        <v>0</v>
      </c>
      <c r="AH19" s="98">
        <f>SUM(AI19:AJ19)</f>
        <v>720234</v>
      </c>
      <c r="AI19" s="98">
        <v>720234</v>
      </c>
      <c r="AJ19" s="98">
        <v>0</v>
      </c>
      <c r="AK19" s="99">
        <v>0</v>
      </c>
      <c r="AL19" s="99">
        <v>0</v>
      </c>
      <c r="AM19" s="99">
        <v>0</v>
      </c>
      <c r="AN19" s="99">
        <v>0</v>
      </c>
      <c r="AO19" s="99">
        <v>0</v>
      </c>
      <c r="AP19" s="96">
        <v>10000</v>
      </c>
      <c r="AQ19" s="97">
        <v>5000</v>
      </c>
      <c r="AR19" s="184" t="s">
        <v>93</v>
      </c>
      <c r="AS19" s="184" t="s">
        <v>94</v>
      </c>
      <c r="AT19" s="132">
        <f t="shared" si="1"/>
        <v>12000</v>
      </c>
    </row>
    <row r="20" spans="1:46" x14ac:dyDescent="0.2">
      <c r="A20" s="103" t="s">
        <v>128</v>
      </c>
      <c r="B20" s="159" t="s">
        <v>129</v>
      </c>
      <c r="C20" s="159">
        <v>2026</v>
      </c>
      <c r="D20" s="183">
        <v>1</v>
      </c>
      <c r="E20" s="103">
        <v>2026</v>
      </c>
      <c r="F20" s="104">
        <v>5294722</v>
      </c>
      <c r="G20" s="104">
        <v>476525</v>
      </c>
      <c r="H20" s="104">
        <v>150000</v>
      </c>
      <c r="I20" s="104">
        <v>13500</v>
      </c>
      <c r="J20" s="104">
        <f t="shared" si="3"/>
        <v>5934747</v>
      </c>
      <c r="K20" s="104">
        <v>3304484</v>
      </c>
      <c r="L20" s="104">
        <f>400000+1862484</f>
        <v>2262484</v>
      </c>
      <c r="M20" s="104">
        <f>Table1[[#This Row],[Cofinancing]]-Table1[[#This Row],[Of which private]]</f>
        <v>1042000</v>
      </c>
      <c r="N20" s="104">
        <v>1248672</v>
      </c>
      <c r="O20" s="105">
        <f>Table1[[#This Row],[IPLC Financing]]/Table1[[#This Row],[Grant Cost (USD)]]</f>
        <v>0.23583334498015193</v>
      </c>
      <c r="P20" s="104">
        <f>Table1[[#This Row],[Grant Cost (USD)]]*Table1[[#This Row],[SIDS/LDC]]</f>
        <v>5294722</v>
      </c>
      <c r="Q20" s="90">
        <v>0</v>
      </c>
      <c r="R20" s="91">
        <v>0</v>
      </c>
      <c r="S20" s="91">
        <v>0</v>
      </c>
      <c r="T20" s="92">
        <v>729285</v>
      </c>
      <c r="U20" s="93">
        <v>0</v>
      </c>
      <c r="V20" s="93">
        <v>729285</v>
      </c>
      <c r="W20" s="94">
        <v>0</v>
      </c>
      <c r="X20" s="95">
        <v>0</v>
      </c>
      <c r="Y20" s="95">
        <v>0</v>
      </c>
      <c r="Z20" s="95">
        <v>0</v>
      </c>
      <c r="AA20" s="95">
        <v>0</v>
      </c>
      <c r="AB20" s="100">
        <v>0</v>
      </c>
      <c r="AC20" s="101">
        <v>0</v>
      </c>
      <c r="AD20" s="101">
        <v>0</v>
      </c>
      <c r="AE20" s="102">
        <v>0</v>
      </c>
      <c r="AF20" s="102">
        <v>0</v>
      </c>
      <c r="AG20" s="120">
        <v>18400</v>
      </c>
      <c r="AH20" s="98">
        <v>0</v>
      </c>
      <c r="AI20" s="98">
        <v>0</v>
      </c>
      <c r="AJ20" s="98">
        <v>0</v>
      </c>
      <c r="AK20" s="99">
        <v>0</v>
      </c>
      <c r="AL20" s="99">
        <v>0</v>
      </c>
      <c r="AM20" s="99">
        <v>0</v>
      </c>
      <c r="AN20" s="99">
        <v>0</v>
      </c>
      <c r="AO20" s="99">
        <v>0</v>
      </c>
      <c r="AP20" s="96">
        <v>5450</v>
      </c>
      <c r="AQ20" s="97">
        <v>2725</v>
      </c>
      <c r="AR20" s="184" t="s">
        <v>94</v>
      </c>
      <c r="AS20" s="184" t="s">
        <v>94</v>
      </c>
      <c r="AT20" s="132">
        <f t="shared" si="1"/>
        <v>747685</v>
      </c>
    </row>
    <row r="21" spans="1:46" x14ac:dyDescent="0.2">
      <c r="A21" s="103" t="s">
        <v>130</v>
      </c>
      <c r="B21" s="159" t="s">
        <v>131</v>
      </c>
      <c r="C21" s="159">
        <v>2026</v>
      </c>
      <c r="D21" s="183">
        <v>1</v>
      </c>
      <c r="E21" s="103">
        <v>2025</v>
      </c>
      <c r="F21" s="104">
        <v>4323400</v>
      </c>
      <c r="G21" s="104">
        <v>389106</v>
      </c>
      <c r="H21" s="104">
        <v>150000</v>
      </c>
      <c r="I21" s="104">
        <v>13500</v>
      </c>
      <c r="J21" s="104">
        <f t="shared" si="3"/>
        <v>4876006</v>
      </c>
      <c r="K21" s="104">
        <v>16971324</v>
      </c>
      <c r="L21" s="104">
        <f>10000000+218790+5086044+125000</f>
        <v>15429834</v>
      </c>
      <c r="M21" s="104">
        <f>Table1[[#This Row],[Cofinancing]]-Table1[[#This Row],[Of which private]]</f>
        <v>1541490</v>
      </c>
      <c r="N21" s="104">
        <v>1414510</v>
      </c>
      <c r="O21" s="105">
        <f>Table1[[#This Row],[IPLC Financing]]/Table1[[#This Row],[Grant Cost (USD)]]</f>
        <v>0.32717537123560159</v>
      </c>
      <c r="P21" s="104">
        <f>Table1[[#This Row],[Grant Cost (USD)]]*Table1[[#This Row],[SIDS/LDC]]</f>
        <v>4323400</v>
      </c>
      <c r="Q21" s="90">
        <v>439000</v>
      </c>
      <c r="R21" s="91">
        <v>0</v>
      </c>
      <c r="S21" s="91">
        <v>439000</v>
      </c>
      <c r="T21" s="92">
        <v>5345520</v>
      </c>
      <c r="U21" s="93">
        <v>4304594</v>
      </c>
      <c r="V21" s="93">
        <v>1040926</v>
      </c>
      <c r="W21" s="94">
        <v>0</v>
      </c>
      <c r="X21" s="95">
        <v>0</v>
      </c>
      <c r="Y21" s="95">
        <v>0</v>
      </c>
      <c r="Z21" s="95">
        <v>0</v>
      </c>
      <c r="AA21" s="95">
        <v>0</v>
      </c>
      <c r="AB21" s="100">
        <v>26100</v>
      </c>
      <c r="AC21" s="101">
        <v>26100</v>
      </c>
      <c r="AD21" s="101">
        <v>0</v>
      </c>
      <c r="AE21" s="102">
        <v>0</v>
      </c>
      <c r="AF21" s="102">
        <v>0</v>
      </c>
      <c r="AG21" s="120">
        <v>0</v>
      </c>
      <c r="AH21" s="98">
        <f>SUM(AI21:AJ21)</f>
        <v>32094070</v>
      </c>
      <c r="AI21" s="98">
        <v>0</v>
      </c>
      <c r="AJ21" s="98">
        <v>32094070</v>
      </c>
      <c r="AK21" s="99">
        <v>0</v>
      </c>
      <c r="AL21" s="99">
        <v>0</v>
      </c>
      <c r="AM21" s="99">
        <v>0</v>
      </c>
      <c r="AN21" s="99">
        <v>0</v>
      </c>
      <c r="AO21" s="99">
        <v>0</v>
      </c>
      <c r="AP21" s="96">
        <v>11315</v>
      </c>
      <c r="AQ21" s="97">
        <v>5619</v>
      </c>
      <c r="AR21" s="184" t="s">
        <v>93</v>
      </c>
      <c r="AS21" s="184" t="s">
        <v>94</v>
      </c>
      <c r="AT21" s="132">
        <f t="shared" si="1"/>
        <v>5810620</v>
      </c>
    </row>
    <row r="22" spans="1:46" x14ac:dyDescent="0.2">
      <c r="A22" s="103" t="s">
        <v>132</v>
      </c>
      <c r="B22" s="159" t="s">
        <v>133</v>
      </c>
      <c r="C22" s="159">
        <v>2026</v>
      </c>
      <c r="D22" s="183">
        <v>1</v>
      </c>
      <c r="E22" s="103">
        <v>2026</v>
      </c>
      <c r="F22" s="104">
        <v>1327630</v>
      </c>
      <c r="G22" s="104">
        <v>126125</v>
      </c>
      <c r="H22" s="104">
        <v>50000</v>
      </c>
      <c r="I22" s="104">
        <v>4750</v>
      </c>
      <c r="J22" s="104">
        <f t="shared" si="3"/>
        <v>1508505</v>
      </c>
      <c r="K22" s="104">
        <v>10000000</v>
      </c>
      <c r="L22" s="104">
        <v>0</v>
      </c>
      <c r="M22" s="104">
        <f>Table1[[#This Row],[Cofinancing]]-Table1[[#This Row],[Of which private]]</f>
        <v>10000000</v>
      </c>
      <c r="N22" s="104">
        <v>300000</v>
      </c>
      <c r="O22" s="105">
        <f>Table1[[#This Row],[IPLC Financing]]/Table1[[#This Row],[Grant Cost (USD)]]</f>
        <v>0.22596657201178039</v>
      </c>
      <c r="P22" s="104">
        <f>Table1[[#This Row],[Grant Cost (USD)]]*Table1[[#This Row],[SIDS/LDC]]</f>
        <v>1327630</v>
      </c>
      <c r="Q22" s="90">
        <v>0</v>
      </c>
      <c r="R22" s="91">
        <v>0</v>
      </c>
      <c r="S22" s="91">
        <v>0</v>
      </c>
      <c r="T22" s="92">
        <v>0</v>
      </c>
      <c r="U22" s="93">
        <v>0</v>
      </c>
      <c r="V22" s="93">
        <v>0</v>
      </c>
      <c r="W22" s="94">
        <v>50</v>
      </c>
      <c r="X22" s="95">
        <v>0</v>
      </c>
      <c r="Y22" s="95">
        <v>0</v>
      </c>
      <c r="Z22" s="95">
        <v>0</v>
      </c>
      <c r="AA22" s="95">
        <v>50</v>
      </c>
      <c r="AB22" s="100">
        <v>31000</v>
      </c>
      <c r="AC22" s="101">
        <v>31000</v>
      </c>
      <c r="AD22" s="101">
        <v>0</v>
      </c>
      <c r="AE22" s="102">
        <v>0</v>
      </c>
      <c r="AF22" s="102">
        <v>0</v>
      </c>
      <c r="AG22" s="120">
        <v>0</v>
      </c>
      <c r="AH22" s="98">
        <v>0</v>
      </c>
      <c r="AI22" s="98">
        <v>0</v>
      </c>
      <c r="AJ22" s="98">
        <v>0</v>
      </c>
      <c r="AK22" s="99">
        <v>0</v>
      </c>
      <c r="AL22" s="99">
        <v>0</v>
      </c>
      <c r="AM22" s="99">
        <v>0</v>
      </c>
      <c r="AN22" s="99">
        <v>0</v>
      </c>
      <c r="AO22" s="99">
        <v>0</v>
      </c>
      <c r="AP22" s="96">
        <v>24077</v>
      </c>
      <c r="AQ22" s="97">
        <v>12077</v>
      </c>
      <c r="AR22" s="184" t="s">
        <v>93</v>
      </c>
      <c r="AS22" s="184" t="s">
        <v>94</v>
      </c>
      <c r="AT22" s="132">
        <f t="shared" si="1"/>
        <v>31050</v>
      </c>
    </row>
    <row r="23" spans="1:46" x14ac:dyDescent="0.2">
      <c r="A23" s="103" t="s">
        <v>134</v>
      </c>
      <c r="B23" s="159" t="s">
        <v>135</v>
      </c>
      <c r="C23" s="159">
        <v>2026</v>
      </c>
      <c r="D23" s="183">
        <v>1</v>
      </c>
      <c r="E23" s="103">
        <v>2025</v>
      </c>
      <c r="F23" s="104">
        <v>1009361</v>
      </c>
      <c r="G23" s="104">
        <v>95889</v>
      </c>
      <c r="H23" s="104">
        <v>50000</v>
      </c>
      <c r="I23" s="104">
        <v>4750</v>
      </c>
      <c r="J23" s="104">
        <f t="shared" si="3"/>
        <v>1160000</v>
      </c>
      <c r="K23" s="104">
        <v>2000000</v>
      </c>
      <c r="L23" s="104">
        <v>0</v>
      </c>
      <c r="M23" s="104">
        <f>Table1[[#This Row],[Cofinancing]]-Table1[[#This Row],[Of which private]]</f>
        <v>2000000</v>
      </c>
      <c r="N23" s="104">
        <v>491400</v>
      </c>
      <c r="O23" s="105">
        <f>Table1[[#This Row],[IPLC Financing]]/Table1[[#This Row],[Grant Cost (USD)]]</f>
        <v>0.4868426658053957</v>
      </c>
      <c r="P23" s="104">
        <f>Table1[[#This Row],[Grant Cost (USD)]]*Table1[[#This Row],[SIDS/LDC]]</f>
        <v>1009361</v>
      </c>
      <c r="Q23" s="90">
        <v>0</v>
      </c>
      <c r="R23" s="91">
        <v>0</v>
      </c>
      <c r="S23" s="91">
        <v>0</v>
      </c>
      <c r="T23" s="92">
        <v>0</v>
      </c>
      <c r="U23" s="93">
        <v>0</v>
      </c>
      <c r="V23" s="93">
        <v>0</v>
      </c>
      <c r="W23" s="94">
        <v>4.04</v>
      </c>
      <c r="X23" s="95">
        <v>4.04</v>
      </c>
      <c r="Y23" s="95">
        <v>0</v>
      </c>
      <c r="Z23" s="95">
        <v>0</v>
      </c>
      <c r="AA23" s="95">
        <v>0</v>
      </c>
      <c r="AB23" s="100">
        <v>250.9</v>
      </c>
      <c r="AC23" s="101">
        <v>250.9</v>
      </c>
      <c r="AD23" s="101">
        <v>0</v>
      </c>
      <c r="AE23" s="102">
        <v>0</v>
      </c>
      <c r="AF23" s="102">
        <v>0</v>
      </c>
      <c r="AG23" s="120">
        <v>0</v>
      </c>
      <c r="AH23" s="98">
        <f>SUM(AI23:AJ23)</f>
        <v>10173</v>
      </c>
      <c r="AI23" s="98">
        <v>10173</v>
      </c>
      <c r="AJ23" s="98">
        <v>0</v>
      </c>
      <c r="AK23" s="99">
        <v>0</v>
      </c>
      <c r="AL23" s="99">
        <v>0</v>
      </c>
      <c r="AM23" s="99">
        <v>0</v>
      </c>
      <c r="AN23" s="99">
        <v>0</v>
      </c>
      <c r="AO23" s="99">
        <v>0</v>
      </c>
      <c r="AP23" s="96">
        <v>1233</v>
      </c>
      <c r="AQ23" s="97">
        <v>620</v>
      </c>
      <c r="AR23" s="184" t="s">
        <v>93</v>
      </c>
      <c r="AS23" s="184" t="s">
        <v>94</v>
      </c>
      <c r="AT23" s="132">
        <f t="shared" si="1"/>
        <v>254.94</v>
      </c>
    </row>
    <row r="24" spans="1:46" x14ac:dyDescent="0.2">
      <c r="A24" s="103" t="s">
        <v>136</v>
      </c>
      <c r="B24" s="159" t="s">
        <v>137</v>
      </c>
      <c r="C24" s="159">
        <v>2026</v>
      </c>
      <c r="D24" s="183">
        <v>1</v>
      </c>
      <c r="E24" s="103">
        <v>2025</v>
      </c>
      <c r="F24" s="104">
        <v>1009361</v>
      </c>
      <c r="G24" s="104">
        <v>95889</v>
      </c>
      <c r="H24" s="104">
        <v>50000</v>
      </c>
      <c r="I24" s="104">
        <v>4750</v>
      </c>
      <c r="J24" s="104">
        <f t="shared" si="3"/>
        <v>1160000</v>
      </c>
      <c r="K24" s="104">
        <v>2666667</v>
      </c>
      <c r="L24" s="104">
        <v>0</v>
      </c>
      <c r="M24" s="104">
        <f>Table1[[#This Row],[Cofinancing]]-Table1[[#This Row],[Of which private]]</f>
        <v>2666667</v>
      </c>
      <c r="N24" s="104">
        <v>241600</v>
      </c>
      <c r="O24" s="105">
        <f>Table1[[#This Row],[IPLC Financing]]/Table1[[#This Row],[Grant Cost (USD)]]</f>
        <v>0.2393593570585747</v>
      </c>
      <c r="P24" s="104">
        <f>Table1[[#This Row],[Grant Cost (USD)]]*Table1[[#This Row],[SIDS/LDC]]</f>
        <v>1009361</v>
      </c>
      <c r="Q24" s="90">
        <v>10051</v>
      </c>
      <c r="R24" s="91">
        <v>10051</v>
      </c>
      <c r="S24" s="91">
        <v>0</v>
      </c>
      <c r="T24" s="92">
        <v>0</v>
      </c>
      <c r="U24" s="93">
        <v>0</v>
      </c>
      <c r="V24" s="93">
        <v>0</v>
      </c>
      <c r="W24" s="94">
        <v>0</v>
      </c>
      <c r="X24" s="95">
        <v>0</v>
      </c>
      <c r="Y24" s="95">
        <v>0</v>
      </c>
      <c r="Z24" s="95">
        <v>0</v>
      </c>
      <c r="AA24" s="95">
        <v>0</v>
      </c>
      <c r="AB24" s="100">
        <v>44346</v>
      </c>
      <c r="AC24" s="101">
        <v>44346</v>
      </c>
      <c r="AD24" s="101">
        <v>0</v>
      </c>
      <c r="AE24" s="102">
        <v>0</v>
      </c>
      <c r="AF24" s="102">
        <v>0</v>
      </c>
      <c r="AG24" s="120">
        <v>0</v>
      </c>
      <c r="AH24" s="98">
        <v>0</v>
      </c>
      <c r="AI24" s="98">
        <v>0</v>
      </c>
      <c r="AJ24" s="98">
        <v>0</v>
      </c>
      <c r="AK24" s="99">
        <v>0</v>
      </c>
      <c r="AL24" s="99">
        <v>0</v>
      </c>
      <c r="AM24" s="99">
        <v>0</v>
      </c>
      <c r="AN24" s="99">
        <v>0</v>
      </c>
      <c r="AO24" s="99">
        <v>0</v>
      </c>
      <c r="AP24" s="96">
        <v>5050</v>
      </c>
      <c r="AQ24" s="97">
        <v>2525</v>
      </c>
      <c r="AR24" s="184" t="s">
        <v>93</v>
      </c>
      <c r="AS24" s="184" t="s">
        <v>94</v>
      </c>
      <c r="AT24" s="132">
        <f t="shared" si="1"/>
        <v>54397</v>
      </c>
    </row>
    <row r="25" spans="1:46" x14ac:dyDescent="0.2">
      <c r="A25" s="103" t="s">
        <v>138</v>
      </c>
      <c r="B25" s="159" t="s">
        <v>139</v>
      </c>
      <c r="C25" s="159">
        <v>2026</v>
      </c>
      <c r="D25" s="183">
        <v>0</v>
      </c>
      <c r="E25" s="103">
        <v>2026</v>
      </c>
      <c r="F25" s="104">
        <v>3502968</v>
      </c>
      <c r="G25" s="104">
        <v>332782</v>
      </c>
      <c r="H25" s="104">
        <v>150000</v>
      </c>
      <c r="I25" s="104">
        <v>14250</v>
      </c>
      <c r="J25" s="104">
        <f t="shared" si="3"/>
        <v>4000000</v>
      </c>
      <c r="K25" s="104">
        <v>31231827</v>
      </c>
      <c r="L25" s="104">
        <v>0</v>
      </c>
      <c r="M25" s="104">
        <f>Table1[[#This Row],[Cofinancing]]-Table1[[#This Row],[Of which private]]</f>
        <v>31231827</v>
      </c>
      <c r="N25" s="104">
        <v>306800</v>
      </c>
      <c r="O25" s="105">
        <f>Table1[[#This Row],[IPLC Financing]]/Table1[[#This Row],[Grant Cost (USD)]]</f>
        <v>8.7582872581194002E-2</v>
      </c>
      <c r="P25" s="104">
        <f>Table1[[#This Row],[Grant Cost (USD)]]*Table1[[#This Row],[SIDS/LDC]]</f>
        <v>0</v>
      </c>
      <c r="Q25" s="90">
        <v>70833</v>
      </c>
      <c r="R25" s="91">
        <v>0</v>
      </c>
      <c r="S25" s="91">
        <v>70833</v>
      </c>
      <c r="T25" s="92">
        <v>46985</v>
      </c>
      <c r="U25" s="93">
        <v>0</v>
      </c>
      <c r="V25" s="93">
        <v>46985</v>
      </c>
      <c r="W25" s="94">
        <v>19900</v>
      </c>
      <c r="X25" s="95">
        <v>2500</v>
      </c>
      <c r="Y25" s="95">
        <v>7000</v>
      </c>
      <c r="Z25" s="95">
        <v>10000</v>
      </c>
      <c r="AA25" s="95">
        <v>400</v>
      </c>
      <c r="AB25" s="100">
        <v>29000</v>
      </c>
      <c r="AC25" s="101">
        <v>19500</v>
      </c>
      <c r="AD25" s="101">
        <v>0</v>
      </c>
      <c r="AE25" s="102">
        <v>9500</v>
      </c>
      <c r="AF25" s="102">
        <v>0</v>
      </c>
      <c r="AG25" s="120">
        <v>0</v>
      </c>
      <c r="AH25" s="98">
        <f>SUM(AI25:AJ25)</f>
        <v>4381712</v>
      </c>
      <c r="AI25" s="98">
        <v>4381712</v>
      </c>
      <c r="AJ25" s="98">
        <v>0</v>
      </c>
      <c r="AK25" s="99">
        <v>0</v>
      </c>
      <c r="AL25" s="99">
        <v>0</v>
      </c>
      <c r="AM25" s="99">
        <v>0</v>
      </c>
      <c r="AN25" s="99">
        <v>0</v>
      </c>
      <c r="AO25" s="99">
        <v>0</v>
      </c>
      <c r="AP25" s="96">
        <v>7000</v>
      </c>
      <c r="AQ25" s="97">
        <v>3500</v>
      </c>
      <c r="AR25" s="184" t="s">
        <v>94</v>
      </c>
      <c r="AS25" s="184" t="s">
        <v>94</v>
      </c>
      <c r="AT25" s="132">
        <f t="shared" si="1"/>
        <v>166718</v>
      </c>
    </row>
    <row r="26" spans="1:46" x14ac:dyDescent="0.2">
      <c r="A26" s="103" t="s">
        <v>140</v>
      </c>
      <c r="B26" s="159" t="s">
        <v>141</v>
      </c>
      <c r="C26" s="159">
        <v>2026</v>
      </c>
      <c r="D26" s="183">
        <v>0</v>
      </c>
      <c r="E26" s="103">
        <v>2026</v>
      </c>
      <c r="F26" s="104">
        <v>2660600</v>
      </c>
      <c r="G26" s="104">
        <v>239400</v>
      </c>
      <c r="H26" s="104">
        <v>91745</v>
      </c>
      <c r="I26" s="104">
        <v>8255</v>
      </c>
      <c r="J26" s="104">
        <f t="shared" si="3"/>
        <v>3000000</v>
      </c>
      <c r="K26" s="104">
        <v>1285000</v>
      </c>
      <c r="L26" s="104">
        <v>0</v>
      </c>
      <c r="M26" s="104">
        <f>Table1[[#This Row],[Cofinancing]]-Table1[[#This Row],[Of which private]]</f>
        <v>1285000</v>
      </c>
      <c r="N26" s="104">
        <v>0</v>
      </c>
      <c r="O26" s="105">
        <f>Table1[[#This Row],[IPLC Financing]]/Table1[[#This Row],[Grant Cost (USD)]]</f>
        <v>0</v>
      </c>
      <c r="P26" s="104">
        <f>Table1[[#This Row],[Grant Cost (USD)]]*Table1[[#This Row],[SIDS/LDC]]</f>
        <v>0</v>
      </c>
      <c r="Q26" s="90">
        <v>155975</v>
      </c>
      <c r="R26" s="91">
        <v>0</v>
      </c>
      <c r="S26" s="91">
        <v>155975</v>
      </c>
      <c r="T26" s="92">
        <v>241767</v>
      </c>
      <c r="U26" s="93">
        <v>0</v>
      </c>
      <c r="V26" s="93">
        <v>241767</v>
      </c>
      <c r="W26" s="94">
        <v>175</v>
      </c>
      <c r="X26" s="95">
        <v>0</v>
      </c>
      <c r="Y26" s="95">
        <v>0</v>
      </c>
      <c r="Z26" s="95">
        <v>0</v>
      </c>
      <c r="AA26" s="95">
        <v>175</v>
      </c>
      <c r="AB26" s="100">
        <v>0</v>
      </c>
      <c r="AC26" s="101">
        <v>0</v>
      </c>
      <c r="AD26" s="101">
        <v>0</v>
      </c>
      <c r="AE26" s="102">
        <v>0</v>
      </c>
      <c r="AF26" s="102">
        <v>0</v>
      </c>
      <c r="AG26" s="120">
        <v>0</v>
      </c>
      <c r="AH26" s="98">
        <v>0</v>
      </c>
      <c r="AI26" s="98">
        <v>0</v>
      </c>
      <c r="AJ26" s="98">
        <v>0</v>
      </c>
      <c r="AK26" s="99">
        <v>0</v>
      </c>
      <c r="AL26" s="99">
        <v>0</v>
      </c>
      <c r="AM26" s="99">
        <v>0</v>
      </c>
      <c r="AN26" s="99">
        <v>0</v>
      </c>
      <c r="AO26" s="99">
        <v>0</v>
      </c>
      <c r="AP26" s="96">
        <v>15000</v>
      </c>
      <c r="AQ26" s="97">
        <v>7500</v>
      </c>
      <c r="AR26" s="184" t="s">
        <v>93</v>
      </c>
      <c r="AS26" s="184" t="s">
        <v>93</v>
      </c>
      <c r="AT26" s="132">
        <f t="shared" si="1"/>
        <v>397917</v>
      </c>
    </row>
    <row r="27" spans="1:46" x14ac:dyDescent="0.2">
      <c r="A27" s="103" t="s">
        <v>142</v>
      </c>
      <c r="B27" s="159" t="s">
        <v>143</v>
      </c>
      <c r="C27" s="159">
        <v>2026</v>
      </c>
      <c r="D27" s="183">
        <v>1</v>
      </c>
      <c r="E27" s="103">
        <v>2025</v>
      </c>
      <c r="F27" s="104">
        <v>1547831</v>
      </c>
      <c r="G27" s="104">
        <v>147044</v>
      </c>
      <c r="H27" s="104">
        <v>50000</v>
      </c>
      <c r="I27" s="104">
        <v>4750</v>
      </c>
      <c r="J27" s="104">
        <f t="shared" si="3"/>
        <v>1749625</v>
      </c>
      <c r="K27" s="104">
        <v>1123500</v>
      </c>
      <c r="L27" s="104">
        <v>0</v>
      </c>
      <c r="M27" s="104">
        <f>Table1[[#This Row],[Cofinancing]]-Table1[[#This Row],[Of which private]]</f>
        <v>1123500</v>
      </c>
      <c r="N27" s="104">
        <v>574750</v>
      </c>
      <c r="O27" s="105">
        <f>Table1[[#This Row],[IPLC Financing]]/Table1[[#This Row],[Grant Cost (USD)]]</f>
        <v>0.37132606854365885</v>
      </c>
      <c r="P27" s="104">
        <f>Table1[[#This Row],[Grant Cost (USD)]]*Table1[[#This Row],[SIDS/LDC]]</f>
        <v>1547831</v>
      </c>
      <c r="Q27" s="90">
        <v>0</v>
      </c>
      <c r="R27" s="91">
        <v>0</v>
      </c>
      <c r="S27" s="91">
        <v>0</v>
      </c>
      <c r="T27" s="92">
        <v>0</v>
      </c>
      <c r="U27" s="93">
        <v>0</v>
      </c>
      <c r="V27" s="93">
        <v>0</v>
      </c>
      <c r="W27" s="94">
        <v>45</v>
      </c>
      <c r="X27" s="95">
        <v>0</v>
      </c>
      <c r="Y27" s="95">
        <v>0</v>
      </c>
      <c r="Z27" s="95">
        <v>45</v>
      </c>
      <c r="AA27" s="95">
        <v>0</v>
      </c>
      <c r="AB27" s="100">
        <v>0</v>
      </c>
      <c r="AC27" s="101">
        <v>0</v>
      </c>
      <c r="AD27" s="101">
        <v>0</v>
      </c>
      <c r="AE27" s="102">
        <v>0</v>
      </c>
      <c r="AF27" s="102">
        <v>0</v>
      </c>
      <c r="AG27" s="120">
        <v>0</v>
      </c>
      <c r="AH27" s="98">
        <v>0</v>
      </c>
      <c r="AI27" s="98">
        <v>0</v>
      </c>
      <c r="AJ27" s="98">
        <v>0</v>
      </c>
      <c r="AK27" s="99">
        <v>0</v>
      </c>
      <c r="AL27" s="99">
        <v>0</v>
      </c>
      <c r="AM27" s="99">
        <v>0</v>
      </c>
      <c r="AN27" s="99">
        <v>0</v>
      </c>
      <c r="AO27" s="99">
        <v>0</v>
      </c>
      <c r="AP27" s="96">
        <v>10000</v>
      </c>
      <c r="AQ27" s="97">
        <v>5045</v>
      </c>
      <c r="AR27" s="184" t="s">
        <v>94</v>
      </c>
      <c r="AS27" s="184" t="s">
        <v>94</v>
      </c>
      <c r="AT27" s="132">
        <f t="shared" si="1"/>
        <v>45</v>
      </c>
    </row>
    <row r="28" spans="1:46" x14ac:dyDescent="0.2">
      <c r="A28" s="103" t="s">
        <v>144</v>
      </c>
      <c r="B28" s="159" t="s">
        <v>145</v>
      </c>
      <c r="C28" s="159">
        <v>2026</v>
      </c>
      <c r="D28" s="183">
        <v>0</v>
      </c>
      <c r="E28" s="103">
        <v>2025</v>
      </c>
      <c r="F28" s="104">
        <v>4437156</v>
      </c>
      <c r="G28" s="104">
        <v>399344</v>
      </c>
      <c r="H28" s="104">
        <v>150000</v>
      </c>
      <c r="I28" s="104">
        <v>13500</v>
      </c>
      <c r="J28" s="104">
        <f t="shared" si="3"/>
        <v>5000000</v>
      </c>
      <c r="K28" s="104">
        <v>0</v>
      </c>
      <c r="L28" s="104">
        <v>0</v>
      </c>
      <c r="M28" s="104">
        <f>Table1[[#This Row],[Cofinancing]]-Table1[[#This Row],[Of which private]]</f>
        <v>0</v>
      </c>
      <c r="N28" s="104">
        <v>0</v>
      </c>
      <c r="O28" s="105">
        <f>Table1[[#This Row],[IPLC Financing]]/Table1[[#This Row],[Grant Cost (USD)]]</f>
        <v>0</v>
      </c>
      <c r="P28" s="104">
        <f>Table1[[#This Row],[Grant Cost (USD)]]*Table1[[#This Row],[SIDS/LDC]]</f>
        <v>0</v>
      </c>
      <c r="Q28" s="90">
        <v>942750</v>
      </c>
      <c r="R28" s="91">
        <v>50000</v>
      </c>
      <c r="S28" s="91">
        <v>892750</v>
      </c>
      <c r="T28" s="92">
        <v>0</v>
      </c>
      <c r="U28" s="93">
        <v>0</v>
      </c>
      <c r="V28" s="93">
        <v>0</v>
      </c>
      <c r="W28" s="94">
        <v>0</v>
      </c>
      <c r="X28" s="95">
        <v>0</v>
      </c>
      <c r="Y28" s="95">
        <v>0</v>
      </c>
      <c r="Z28" s="95">
        <v>0</v>
      </c>
      <c r="AA28" s="95">
        <v>0</v>
      </c>
      <c r="AB28" s="100">
        <v>40000</v>
      </c>
      <c r="AC28" s="101">
        <v>40000</v>
      </c>
      <c r="AD28" s="101">
        <v>0</v>
      </c>
      <c r="AE28" s="102">
        <v>0</v>
      </c>
      <c r="AF28" s="102">
        <v>0</v>
      </c>
      <c r="AG28" s="120">
        <v>0</v>
      </c>
      <c r="AH28" s="98">
        <v>0</v>
      </c>
      <c r="AI28" s="98">
        <v>0</v>
      </c>
      <c r="AJ28" s="98">
        <v>0</v>
      </c>
      <c r="AK28" s="99">
        <v>0</v>
      </c>
      <c r="AL28" s="99">
        <v>0</v>
      </c>
      <c r="AM28" s="99">
        <v>0</v>
      </c>
      <c r="AN28" s="99">
        <v>0</v>
      </c>
      <c r="AO28" s="99">
        <v>0</v>
      </c>
      <c r="AP28" s="96">
        <v>7837</v>
      </c>
      <c r="AQ28" s="97">
        <v>4702</v>
      </c>
      <c r="AR28" s="184" t="s">
        <v>94</v>
      </c>
      <c r="AS28" s="184" t="s">
        <v>94</v>
      </c>
      <c r="AT28" s="132">
        <f t="shared" si="1"/>
        <v>982750</v>
      </c>
    </row>
    <row r="29" spans="1:46" x14ac:dyDescent="0.2">
      <c r="A29" s="103" t="str">
        <f>"Count: "&amp;COUNTA(Table1[Project])&amp;" Projects"</f>
        <v>Count: 26 Projects</v>
      </c>
      <c r="B29" s="103"/>
      <c r="C29" s="103"/>
      <c r="D29" s="103"/>
      <c r="E29" s="103"/>
      <c r="F29" s="104">
        <f>SUM(Table1[Grant Cost (USD)])</f>
        <v>122074702</v>
      </c>
      <c r="G29" s="104">
        <f>SUM(Table1[Agency Fee (USD)])</f>
        <v>11154694</v>
      </c>
      <c r="H29" s="104">
        <f>SUM(Table1[PPG Amount (USD)])</f>
        <v>3170736</v>
      </c>
      <c r="I29" s="104">
        <f>SUM(Table1[PPG Agency Fee])</f>
        <v>291613</v>
      </c>
      <c r="J29" s="104">
        <f>SUM(Table1[Total GEF Cost])</f>
        <v>136691745</v>
      </c>
      <c r="K29" s="104">
        <f>SUM(Table1[Cofinancing])</f>
        <v>318908886.43000001</v>
      </c>
      <c r="L29" s="104">
        <f>SUM(Table1[Of which private])</f>
        <v>41333589</v>
      </c>
      <c r="M29" s="104">
        <f>SUM(Table1[Of which public])</f>
        <v>277575297.43000001</v>
      </c>
      <c r="N29" s="104">
        <f>SUM(Table1[IPLC Financing])</f>
        <v>44672719.450000003</v>
      </c>
      <c r="O29" s="105">
        <f>SUMPRODUCT(Table1[% IPLC],Table1[Grant Cost (USD)])/SUM(Table1[Total GEF Cost])</f>
        <v>0.32681358665806776</v>
      </c>
      <c r="P29" s="104">
        <f>SUM(Table1[SIDS/LDC Finance])</f>
        <v>34937088.333333328</v>
      </c>
      <c r="Q29" s="199">
        <f>SUM(Table1[1. Terrestrial protected areas created or under improved management (Ha)])</f>
        <v>14884087.65</v>
      </c>
      <c r="R29" s="200">
        <f>SUM(Table1[1.1 Terrestiral Protected Areas Newly created (Ha)])</f>
        <v>235230.76</v>
      </c>
      <c r="S29" s="200">
        <f>SUM(Table1[1.2 Terrestrial Protected Areas Under Improved Management (Ha)])</f>
        <v>14748857.850000001</v>
      </c>
      <c r="T29" s="201">
        <f>SUM(Table1[2. Marine protected areas created or under improved management (Ha)])</f>
        <v>30474670.199999999</v>
      </c>
      <c r="U29" s="202">
        <f>SUM(Table1[2.1 Marine Protected Areas Newly created (Ha)])</f>
        <v>4304594</v>
      </c>
      <c r="V29" s="202">
        <f>SUM(Table1[2.2 Marine Protected Areas Under improved management effectiveness])</f>
        <v>26170076.239999998</v>
      </c>
      <c r="W29" s="203">
        <f>SUM(Table1[3. Area of land and ecosystems under restoration])</f>
        <v>78973.040000000008</v>
      </c>
      <c r="X29" s="204">
        <f>SUM(Table1[3.1 Area of degraded agricultural lands under restoration])</f>
        <v>11004.04</v>
      </c>
      <c r="Y29" s="204">
        <f>SUM(Table1[3.2 Area of forest and forest land under restoration])</f>
        <v>35624</v>
      </c>
      <c r="Z29" s="204">
        <f>SUM(Table1[3.3 Area of natural grass and woodland under restoration])</f>
        <v>22545</v>
      </c>
      <c r="AA29" s="204">
        <f>SUM(Table1[3.4 Area of wetlands (including estuaries, mangroves) under restoration])</f>
        <v>9800</v>
      </c>
      <c r="AB29" s="205">
        <f>SUM(Table1[4. Area of landscape under improved pratice, excluding protected areas (Ha)])</f>
        <v>11436232.77</v>
      </c>
      <c r="AC29" s="206">
        <f>SUM(Table1[4.1 Area of landscapes under improved management to benefit biodiversity (Ha)])</f>
        <v>11384512.77</v>
      </c>
      <c r="AD29" s="206">
        <f>SUM(Table1[4.2 Area of landscapes under third-party certification incorporating biodiversity considerations (Ha)])</f>
        <v>0</v>
      </c>
      <c r="AE29" s="206">
        <f>SUM(Table1[4.3 Area of landscapes under sustainable land management in production systems (Ha)])</f>
        <v>51720</v>
      </c>
      <c r="AF29" s="206">
        <f>SUM(Table1[4.4 Area of High Conservation Value or other forest loss avoided (Ha)])</f>
        <v>0</v>
      </c>
      <c r="AG29" s="207">
        <f>SUM(Table1[5. Area of marine habitat under improved practices (ha)])</f>
        <v>581610</v>
      </c>
      <c r="AH29" s="208">
        <f>SUM(Table1[6. Greenhouse Gas Emissions Mitigated (tCO2e)])</f>
        <v>118453802.84999999</v>
      </c>
      <c r="AI29" s="208">
        <f>SUM(Table1[6.a Direct Greenhouse Gas Emissions Mitigated (tCO2e)2])</f>
        <v>27520330.870000001</v>
      </c>
      <c r="AJ29" s="208">
        <f>SUM(Table1[6.b Indirect Greenhouse Gas Emissions Mitigated (tCO2e)])</f>
        <v>90933471.979999989</v>
      </c>
      <c r="AK29" s="209">
        <f>SUM(Table1[6.1.a Direct Carbon Sequestered or Emissions Avoided in the AFOLU])</f>
        <v>18347495.870000001</v>
      </c>
      <c r="AL29" s="209">
        <f>SUM(Table1[6.1.b Indirect Carbon Sequestered or Emissions Avoided in the AFOLU])</f>
        <v>51920147.579999998</v>
      </c>
      <c r="AM29" s="209">
        <f>SUM(Table1[6.2 Emissions Avoided Outside AFOLU])</f>
        <v>0</v>
      </c>
      <c r="AN29" s="209">
        <f>SUM(Table1[6.3 Energy Saved])</f>
        <v>0</v>
      </c>
      <c r="AO29" s="209">
        <f>SUM(Table1[6.4 Increase in Installed Renewable Energy Capacity per Technology])</f>
        <v>0</v>
      </c>
      <c r="AP29" s="210">
        <f>SUM(Table1[11. People benefiting from GEF investment])</f>
        <v>438649</v>
      </c>
      <c r="AQ29" s="211">
        <f>SUM(Table1[11.1 of whom women])</f>
        <v>220758</v>
      </c>
      <c r="AR29" s="212"/>
      <c r="AS29" s="212"/>
      <c r="AT29" s="243">
        <f>SUM(Table1[12.Total land under sustainable management])</f>
        <v>57455573.659999996</v>
      </c>
    </row>
    <row r="30" spans="1:46" x14ac:dyDescent="0.2">
      <c r="N30" s="66"/>
    </row>
    <row r="31" spans="1:46" x14ac:dyDescent="0.2">
      <c r="N31" s="224"/>
    </row>
    <row r="33" spans="10:13" x14ac:dyDescent="0.2">
      <c r="J33" s="182"/>
      <c r="L33" s="66"/>
      <c r="M33" s="66"/>
    </row>
  </sheetData>
  <dataValidations count="1">
    <dataValidation type="list" allowBlank="1" showInputMessage="1" showErrorMessage="1" sqref="AR3:AS28" xr:uid="{66780D56-C7EB-4C90-B1FF-3AAADAFED6CC}">
      <formula1>"Yes,No"</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A85A5-A330-4409-AD0E-4600BEBC77CB}">
  <sheetPr>
    <tabColor rgb="FFFFFF00"/>
  </sheetPr>
  <dimension ref="A1:I30"/>
  <sheetViews>
    <sheetView workbookViewId="0">
      <selection activeCell="G4" sqref="G4"/>
    </sheetView>
  </sheetViews>
  <sheetFormatPr defaultRowHeight="12.75" x14ac:dyDescent="0.2"/>
  <cols>
    <col min="1" max="1" width="80.5703125" customWidth="1"/>
    <col min="2" max="3" width="14.140625" bestFit="1" customWidth="1"/>
    <col min="4" max="4" width="14.140625" customWidth="1"/>
    <col min="5" max="8" width="13.140625" customWidth="1"/>
  </cols>
  <sheetData>
    <row r="1" spans="1:9" x14ac:dyDescent="0.2">
      <c r="A1" s="230" t="s">
        <v>146</v>
      </c>
      <c r="E1" s="332" t="s">
        <v>147</v>
      </c>
      <c r="F1" s="332"/>
      <c r="G1" s="332"/>
      <c r="H1" s="332"/>
    </row>
    <row r="2" spans="1:9" ht="26.25" customHeight="1" x14ac:dyDescent="0.2">
      <c r="A2" s="223" t="s">
        <v>148</v>
      </c>
      <c r="B2" s="70" t="s">
        <v>149</v>
      </c>
      <c r="C2" s="70" t="s">
        <v>150</v>
      </c>
      <c r="D2" s="70"/>
      <c r="E2" s="70" t="s">
        <v>151</v>
      </c>
      <c r="F2" s="70" t="s">
        <v>152</v>
      </c>
      <c r="G2" s="70" t="s">
        <v>153</v>
      </c>
      <c r="H2" s="70" t="s">
        <v>154</v>
      </c>
      <c r="I2" s="70"/>
    </row>
    <row r="3" spans="1:9" ht="25.5" x14ac:dyDescent="0.2">
      <c r="A3" s="1" t="s">
        <v>155</v>
      </c>
      <c r="B3" s="125">
        <v>0</v>
      </c>
      <c r="C3" s="84">
        <f>B3*Inputs!$C$3</f>
        <v>0</v>
      </c>
      <c r="D3" s="84"/>
      <c r="E3" s="84">
        <f>$C3*'Milestone Proportions'!C$3</f>
        <v>0</v>
      </c>
      <c r="F3" s="84">
        <f>$C3*'Milestone Proportions'!D$3</f>
        <v>0</v>
      </c>
      <c r="G3" s="84">
        <f>$C3*'Milestone Proportions'!E$3</f>
        <v>0</v>
      </c>
      <c r="H3" s="84">
        <f>$C3*'Milestone Proportions'!F$3</f>
        <v>0</v>
      </c>
    </row>
    <row r="4" spans="1:9" x14ac:dyDescent="0.2">
      <c r="A4" s="1" t="s">
        <v>156</v>
      </c>
      <c r="B4" s="84">
        <v>56255796</v>
      </c>
      <c r="C4" s="84">
        <f>B4*Inputs!$C$3</f>
        <v>45004636.800000004</v>
      </c>
      <c r="D4" s="84"/>
      <c r="E4" s="84">
        <f>$C4*'Milestone Proportions'!C$3</f>
        <v>6188137.5600000015</v>
      </c>
      <c r="F4" s="84">
        <f>$C4*'Milestone Proportions'!D$3</f>
        <v>12376275.120000003</v>
      </c>
      <c r="G4" s="84">
        <f>$C4*'Milestone Proportions'!E$3</f>
        <v>18564412.680000003</v>
      </c>
      <c r="H4" s="84">
        <f>$C4*'Milestone Proportions'!F$3</f>
        <v>24752550.240000006</v>
      </c>
      <c r="I4" s="152"/>
    </row>
    <row r="5" spans="1:9" ht="25.5" x14ac:dyDescent="0.2">
      <c r="A5" s="1" t="s">
        <v>157</v>
      </c>
      <c r="B5" s="125">
        <v>0</v>
      </c>
      <c r="C5" s="84">
        <f>B5*Inputs!$C$3</f>
        <v>0</v>
      </c>
      <c r="D5" s="84"/>
      <c r="E5" s="84">
        <f>$C5*'Milestone Proportions'!C$3</f>
        <v>0</v>
      </c>
      <c r="F5" s="84">
        <f>$C5*'Milestone Proportions'!D$3</f>
        <v>0</v>
      </c>
      <c r="G5" s="84">
        <f>$C5*'Milestone Proportions'!E$3</f>
        <v>0</v>
      </c>
      <c r="H5" s="84">
        <f>$C5*'Milestone Proportions'!F$3</f>
        <v>0</v>
      </c>
      <c r="I5" s="152"/>
    </row>
    <row r="6" spans="1:9" ht="25.5" x14ac:dyDescent="0.2">
      <c r="A6" s="1" t="s">
        <v>158</v>
      </c>
      <c r="B6" s="125">
        <v>0</v>
      </c>
      <c r="C6" s="84">
        <f>B6*Inputs!$C$3</f>
        <v>0</v>
      </c>
      <c r="D6" s="84"/>
      <c r="E6" s="84">
        <f>$C6*'Milestone Proportions'!C$3</f>
        <v>0</v>
      </c>
      <c r="F6" s="84">
        <f>$C6*'Milestone Proportions'!D$3</f>
        <v>0</v>
      </c>
      <c r="G6" s="84">
        <f>$C6*'Milestone Proportions'!E$3</f>
        <v>0</v>
      </c>
      <c r="H6" s="84">
        <f>$C6*'Milestone Proportions'!F$3</f>
        <v>0</v>
      </c>
    </row>
    <row r="7" spans="1:9" ht="25.5" x14ac:dyDescent="0.2">
      <c r="A7" s="1" t="s">
        <v>159</v>
      </c>
      <c r="B7" s="89">
        <f>SUM(B10:B14)</f>
        <v>31470682</v>
      </c>
      <c r="C7" s="84">
        <f>B7*Inputs!$C$3</f>
        <v>25176545.600000001</v>
      </c>
      <c r="D7" s="84"/>
      <c r="E7" s="84">
        <f>$C7*'Milestone Proportions'!C$3</f>
        <v>3461775.0200000005</v>
      </c>
      <c r="F7" s="84">
        <f>$C7*'Milestone Proportions'!D$3</f>
        <v>6923550.040000001</v>
      </c>
      <c r="G7" s="84">
        <f>$C7*'Milestone Proportions'!E$3</f>
        <v>10385325.060000002</v>
      </c>
      <c r="H7" s="84">
        <f>$C7*'Milestone Proportions'!F$3</f>
        <v>13847100.080000002</v>
      </c>
    </row>
    <row r="8" spans="1:9" x14ac:dyDescent="0.2">
      <c r="A8" s="223"/>
      <c r="B8" s="70"/>
      <c r="C8" s="84"/>
      <c r="D8" s="84"/>
      <c r="E8" s="84"/>
      <c r="F8" s="84"/>
      <c r="G8" s="84"/>
      <c r="H8" s="84"/>
    </row>
    <row r="9" spans="1:9" x14ac:dyDescent="0.2">
      <c r="A9" s="223" t="s">
        <v>160</v>
      </c>
      <c r="B9" s="70"/>
      <c r="C9" s="84"/>
      <c r="D9" s="84"/>
      <c r="E9" s="84"/>
      <c r="F9" s="84"/>
      <c r="G9" s="84"/>
      <c r="H9" s="84"/>
    </row>
    <row r="10" spans="1:9" ht="25.5" x14ac:dyDescent="0.2">
      <c r="A10" s="1" t="s">
        <v>161</v>
      </c>
      <c r="B10" s="84">
        <v>9190315</v>
      </c>
      <c r="C10" s="84">
        <f>B10*Inputs!$C$3</f>
        <v>7352252</v>
      </c>
      <c r="D10" s="84"/>
      <c r="E10" s="84">
        <f>$C10*'Milestone Proportions'!C$3</f>
        <v>1010934.6500000001</v>
      </c>
      <c r="F10" s="84">
        <f>$C10*'Milestone Proportions'!D$3</f>
        <v>2021869.3000000003</v>
      </c>
      <c r="G10" s="84">
        <f>$C10*'Milestone Proportions'!E$3</f>
        <v>3032803.95</v>
      </c>
      <c r="H10" s="84">
        <f>$C10*'Milestone Proportions'!F$3</f>
        <v>4043738.6000000006</v>
      </c>
    </row>
    <row r="11" spans="1:9" ht="25.5" x14ac:dyDescent="0.2">
      <c r="A11" s="1" t="s">
        <v>162</v>
      </c>
      <c r="B11" s="84">
        <v>1737929</v>
      </c>
      <c r="C11" s="84">
        <f>B11*Inputs!$C$3</f>
        <v>1390343.2000000002</v>
      </c>
      <c r="D11" s="84"/>
      <c r="E11" s="84">
        <f>$C11*'Milestone Proportions'!C$3</f>
        <v>191172.19000000003</v>
      </c>
      <c r="F11" s="84">
        <f>$C11*'Milestone Proportions'!D$3</f>
        <v>382344.38000000006</v>
      </c>
      <c r="G11" s="84">
        <f>$C11*'Milestone Proportions'!E$3</f>
        <v>573516.57000000007</v>
      </c>
      <c r="H11" s="84">
        <f>$C11*'Milestone Proportions'!F$3</f>
        <v>764688.76000000013</v>
      </c>
    </row>
    <row r="12" spans="1:9" x14ac:dyDescent="0.2">
      <c r="A12" s="1" t="s">
        <v>163</v>
      </c>
      <c r="B12" s="84">
        <v>150471</v>
      </c>
      <c r="C12" s="84">
        <f>B12*Inputs!$C$3</f>
        <v>120376.8</v>
      </c>
      <c r="D12" s="84"/>
      <c r="E12" s="84">
        <f>$C12*'Milestone Proportions'!C$3</f>
        <v>16551.810000000001</v>
      </c>
      <c r="F12" s="84">
        <f>$C12*'Milestone Proportions'!D$3</f>
        <v>33103.620000000003</v>
      </c>
      <c r="G12" s="84">
        <f>$C12*'Milestone Proportions'!E$3</f>
        <v>49655.430000000008</v>
      </c>
      <c r="H12" s="84">
        <f>$C12*'Milestone Proportions'!F$3</f>
        <v>66207.240000000005</v>
      </c>
    </row>
    <row r="13" spans="1:9" x14ac:dyDescent="0.2">
      <c r="A13" s="1" t="s">
        <v>164</v>
      </c>
      <c r="B13" s="84">
        <v>12207723</v>
      </c>
      <c r="C13" s="84">
        <f>B13*Inputs!$C$3</f>
        <v>9766178.4000000004</v>
      </c>
      <c r="D13" s="84"/>
      <c r="E13" s="84">
        <f>$C13*'Milestone Proportions'!C$3</f>
        <v>1342849.5300000003</v>
      </c>
      <c r="F13" s="84">
        <f>$C13*'Milestone Proportions'!D$3</f>
        <v>2685699.0600000005</v>
      </c>
      <c r="G13" s="84">
        <f>$C13*'Milestone Proportions'!E$3</f>
        <v>4028548.5900000003</v>
      </c>
      <c r="H13" s="84">
        <f>$C13*'Milestone Proportions'!F$3</f>
        <v>5371398.120000001</v>
      </c>
    </row>
    <row r="14" spans="1:9" x14ac:dyDescent="0.2">
      <c r="A14" s="1" t="s">
        <v>165</v>
      </c>
      <c r="B14" s="84">
        <v>8184244</v>
      </c>
      <c r="C14" s="84">
        <f>B14*Inputs!$C$3</f>
        <v>6547395.2000000002</v>
      </c>
      <c r="D14" s="84"/>
      <c r="E14" s="84">
        <f>$C14*'Milestone Proportions'!C$3</f>
        <v>900266.84000000008</v>
      </c>
      <c r="F14" s="84">
        <f>$C14*'Milestone Proportions'!D$3</f>
        <v>1800533.6800000002</v>
      </c>
      <c r="G14" s="84">
        <f>$C14*'Milestone Proportions'!E$3</f>
        <v>2700800.5200000005</v>
      </c>
      <c r="H14" s="84">
        <f>$C14*'Milestone Proportions'!F$3</f>
        <v>3601067.3600000003</v>
      </c>
    </row>
    <row r="15" spans="1:9" x14ac:dyDescent="0.2">
      <c r="A15" s="1" t="s">
        <v>166</v>
      </c>
      <c r="B15" s="84"/>
      <c r="C15" s="84"/>
      <c r="D15" s="84"/>
      <c r="E15" s="84">
        <f>$C15*'Milestone Proportions'!C$3</f>
        <v>0</v>
      </c>
      <c r="F15" s="84">
        <f>$C15*'Milestone Proportions'!D$3</f>
        <v>0</v>
      </c>
      <c r="G15" s="84">
        <f>$C15*'Milestone Proportions'!E$3</f>
        <v>0</v>
      </c>
      <c r="H15" s="84">
        <f>$C15*'Milestone Proportions'!F$3</f>
        <v>0</v>
      </c>
    </row>
    <row r="16" spans="1:9" ht="25.5" x14ac:dyDescent="0.2">
      <c r="A16" s="1" t="s">
        <v>167</v>
      </c>
      <c r="E16" s="84">
        <f>$C16*'Milestone Proportions'!C$3</f>
        <v>0</v>
      </c>
      <c r="F16" s="84">
        <f>$C16*'Milestone Proportions'!D$3</f>
        <v>0</v>
      </c>
      <c r="G16" s="84">
        <f>$C16*'Milestone Proportions'!E$3</f>
        <v>0</v>
      </c>
      <c r="H16" s="84">
        <f>$C16*'Milestone Proportions'!F$3</f>
        <v>0</v>
      </c>
    </row>
    <row r="17" spans="1:8" x14ac:dyDescent="0.2">
      <c r="A17" s="1" t="s">
        <v>168</v>
      </c>
      <c r="E17">
        <v>7</v>
      </c>
      <c r="F17">
        <v>7</v>
      </c>
      <c r="G17">
        <v>7</v>
      </c>
      <c r="H17">
        <v>7</v>
      </c>
    </row>
    <row r="18" spans="1:8" ht="25.5" x14ac:dyDescent="0.2">
      <c r="A18" s="1" t="s">
        <v>169</v>
      </c>
      <c r="E18" s="66">
        <v>0.39</v>
      </c>
      <c r="F18" s="66">
        <v>0.39</v>
      </c>
      <c r="G18" s="66">
        <v>0.39</v>
      </c>
      <c r="H18" s="66">
        <v>0.39</v>
      </c>
    </row>
    <row r="19" spans="1:8" x14ac:dyDescent="0.2">
      <c r="A19" s="1" t="s">
        <v>170</v>
      </c>
      <c r="E19" s="66">
        <v>0.25</v>
      </c>
      <c r="F19" s="66">
        <v>0.25</v>
      </c>
      <c r="G19" s="66">
        <v>0.25</v>
      </c>
      <c r="H19" s="66">
        <v>0.25</v>
      </c>
    </row>
    <row r="20" spans="1:8" ht="25.5" x14ac:dyDescent="0.2">
      <c r="A20" s="1" t="s">
        <v>171</v>
      </c>
      <c r="E20" s="66">
        <v>0.2</v>
      </c>
      <c r="F20" s="66">
        <v>0.2</v>
      </c>
      <c r="G20" s="66">
        <v>0.2</v>
      </c>
      <c r="H20" s="66">
        <v>0.2</v>
      </c>
    </row>
    <row r="22" spans="1:8" ht="39.75" customHeight="1" x14ac:dyDescent="0.2">
      <c r="A22" s="328" t="s">
        <v>172</v>
      </c>
      <c r="B22" s="328"/>
      <c r="C22" s="328"/>
      <c r="D22" s="328"/>
      <c r="E22" s="328"/>
      <c r="F22" s="328"/>
      <c r="G22" s="328"/>
    </row>
    <row r="24" spans="1:8" x14ac:dyDescent="0.2">
      <c r="A24" s="70" t="s">
        <v>173</v>
      </c>
      <c r="B24" s="65" t="s">
        <v>174</v>
      </c>
      <c r="C24" s="1"/>
      <c r="D24" s="1"/>
    </row>
    <row r="25" spans="1:8" x14ac:dyDescent="0.2">
      <c r="B25" s="65" t="s">
        <v>175</v>
      </c>
    </row>
    <row r="30" spans="1:8" x14ac:dyDescent="0.2">
      <c r="A30" s="1"/>
    </row>
  </sheetData>
  <mergeCells count="2">
    <mergeCell ref="A22:G22"/>
    <mergeCell ref="E1:H1"/>
  </mergeCells>
  <hyperlinks>
    <hyperlink ref="B24" r:id="rId1" xr:uid="{986023A9-563E-475E-A1D9-0285538848F3}"/>
    <hyperlink ref="B25" r:id="rId2" display="https://www.thegef.org/sites/default/files/documents/2024-02/EN_GEF.C.64.Inf_.04_Scorecard_June_2023.pdf" xr:uid="{3A8348A5-664B-4CF3-97F3-27BF6B522B7E}"/>
  </hyperlinks>
  <pageMargins left="0.7" right="0.7" top="0.75" bottom="0.75" header="0.3" footer="0.3"/>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BCA7-3AC7-4245-92A6-0EBE0ED8E0DD}">
  <sheetPr>
    <tabColor rgb="FFFFFF00"/>
  </sheetPr>
  <dimension ref="A1:N35"/>
  <sheetViews>
    <sheetView workbookViewId="0">
      <selection activeCell="I12" sqref="I12:I18"/>
    </sheetView>
  </sheetViews>
  <sheetFormatPr defaultRowHeight="12.75" x14ac:dyDescent="0.2"/>
  <cols>
    <col min="1" max="1" width="56.85546875" customWidth="1"/>
    <col min="2" max="3" width="14.140625" style="88" customWidth="1"/>
    <col min="4" max="5" width="14.140625" customWidth="1"/>
    <col min="6" max="6" width="15" customWidth="1"/>
    <col min="8" max="8" width="10.42578125" bestFit="1" customWidth="1"/>
    <col min="9" max="9" width="17.7109375" customWidth="1"/>
  </cols>
  <sheetData>
    <row r="1" spans="1:11" x14ac:dyDescent="0.2">
      <c r="A1" s="236" t="s">
        <v>176</v>
      </c>
      <c r="B1" s="153"/>
      <c r="G1" s="152"/>
      <c r="K1" s="152"/>
    </row>
    <row r="2" spans="1:11" x14ac:dyDescent="0.2">
      <c r="A2" s="128"/>
      <c r="B2" s="333" t="s">
        <v>177</v>
      </c>
      <c r="C2" s="333"/>
      <c r="D2" s="333"/>
      <c r="E2" s="333"/>
      <c r="G2" s="152"/>
      <c r="K2" s="152"/>
    </row>
    <row r="3" spans="1:11" x14ac:dyDescent="0.2">
      <c r="A3" s="128"/>
      <c r="B3" s="233" t="s">
        <v>32</v>
      </c>
      <c r="C3" s="233" t="s">
        <v>33</v>
      </c>
      <c r="D3" s="233" t="s">
        <v>34</v>
      </c>
      <c r="E3" s="233" t="s">
        <v>35</v>
      </c>
      <c r="G3" s="152"/>
      <c r="K3" s="152"/>
    </row>
    <row r="4" spans="1:11" x14ac:dyDescent="0.2">
      <c r="A4" s="128"/>
      <c r="B4" s="334" t="s">
        <v>178</v>
      </c>
      <c r="C4" s="334"/>
      <c r="D4" s="334"/>
      <c r="E4" s="334"/>
      <c r="G4" s="152"/>
      <c r="K4" s="152"/>
    </row>
    <row r="5" spans="1:11" x14ac:dyDescent="0.2">
      <c r="A5" s="223" t="s">
        <v>179</v>
      </c>
      <c r="B5" s="234" t="s">
        <v>180</v>
      </c>
      <c r="C5" s="234" t="s">
        <v>181</v>
      </c>
      <c r="D5" s="234" t="s">
        <v>182</v>
      </c>
      <c r="E5" s="234" t="s">
        <v>183</v>
      </c>
      <c r="F5" s="225" t="s">
        <v>184</v>
      </c>
    </row>
    <row r="6" spans="1:11" ht="30" x14ac:dyDescent="0.25">
      <c r="A6" s="116" t="s">
        <v>185</v>
      </c>
      <c r="B6" s="84">
        <f>SUMIFS(Table1[1. Terrestrial protected areas created or under improved management (Ha)],Table1[Annual Review],B$5)</f>
        <v>11238703.09</v>
      </c>
      <c r="C6" s="84">
        <f>SUMIFS(Table1[1. Terrestrial protected areas created or under improved management (Ha)],Table1[Annual Review],C$5)</f>
        <v>3645384.56</v>
      </c>
      <c r="D6" s="84">
        <f>SUMIFS(Table1[1. Terrestrial protected areas created or under improved management (Ha)],Table1[Annual Review],D$5)</f>
        <v>0</v>
      </c>
      <c r="E6" s="84">
        <f>SUMIFS(Table1[1. Terrestrial protected areas created or under improved management (Ha)],Table1[Annual Review],E$5)</f>
        <v>0</v>
      </c>
      <c r="F6" s="134">
        <f>SUM(B6:E6)</f>
        <v>14884087.65</v>
      </c>
      <c r="G6" s="88"/>
      <c r="I6" s="267"/>
    </row>
    <row r="7" spans="1:11" ht="25.5" x14ac:dyDescent="0.2">
      <c r="A7" s="1" t="s">
        <v>186</v>
      </c>
      <c r="B7" s="84">
        <f>SUMIFS(Table1[2. Marine protected areas created or under improved management (Ha)],Table1[Annual Review],B$5)</f>
        <v>22357179.84</v>
      </c>
      <c r="C7" s="84">
        <f>SUMIFS(Table1[2. Marine protected areas created or under improved management (Ha)],Table1[Annual Review],C$5)</f>
        <v>8117490.3599999994</v>
      </c>
      <c r="D7" s="84">
        <f>SUMIFS(Table1[2. Marine protected areas created or under improved management (Ha)],Table1[Annual Review],D$5)</f>
        <v>0</v>
      </c>
      <c r="E7" s="84">
        <f>SUMIFS(Table1[2. Marine protected areas created or under improved management (Ha)],Table1[Annual Review],E$5)</f>
        <v>0</v>
      </c>
      <c r="F7" s="134">
        <f t="shared" ref="F7:F22" si="0">SUM(B7:E7)</f>
        <v>30474670.199999999</v>
      </c>
      <c r="G7" s="88"/>
      <c r="I7" s="267"/>
    </row>
    <row r="8" spans="1:11" x14ac:dyDescent="0.2">
      <c r="A8" s="117" t="s">
        <v>187</v>
      </c>
      <c r="B8" s="84">
        <f>SUMIFS(Table1[3. Area of land and ecosystems under restoration],Table1[Annual Review],B$5)</f>
        <v>15000</v>
      </c>
      <c r="C8" s="84">
        <f>SUMIFS(Table1[3. Area of land and ecosystems under restoration],Table1[Annual Review],C$5)</f>
        <v>63973.04</v>
      </c>
      <c r="D8" s="84">
        <f>SUMIFS(Table1[3. Area of land and ecosystems under restoration],Table1[Annual Review],D$5)</f>
        <v>0</v>
      </c>
      <c r="E8" s="84">
        <f>SUMIFS(Table1[3. Area of land and ecosystems under restoration],Table1[Annual Review],E$5)</f>
        <v>0</v>
      </c>
      <c r="F8" s="134">
        <f t="shared" si="0"/>
        <v>78973.040000000008</v>
      </c>
      <c r="G8" s="88"/>
      <c r="I8" s="267"/>
    </row>
    <row r="9" spans="1:11" ht="15" x14ac:dyDescent="0.25">
      <c r="A9" s="116" t="s">
        <v>188</v>
      </c>
      <c r="B9" s="84">
        <f>SUMIFS(Table1[4. Area of landscape under improved pratice, excluding protected areas (Ha)],Table1[Annual Review],B$5)</f>
        <v>10709913.6</v>
      </c>
      <c r="C9" s="84">
        <f>SUMIFS(Table1[4. Area of landscape under improved pratice, excluding protected areas (Ha)],Table1[Annual Review],C$5)</f>
        <v>726319.17</v>
      </c>
      <c r="D9" s="84">
        <f>SUMIFS(Table1[4. Area of landscape under improved pratice, excluding protected areas (Ha)],Table1[Annual Review],D$5)</f>
        <v>0</v>
      </c>
      <c r="E9" s="84">
        <f>SUMIFS(Table1[4. Area of landscape under improved pratice, excluding protected areas (Ha)],Table1[Annual Review],E$5)</f>
        <v>0</v>
      </c>
      <c r="F9" s="134">
        <f t="shared" si="0"/>
        <v>11436232.77</v>
      </c>
      <c r="G9" s="88"/>
      <c r="I9" s="267"/>
    </row>
    <row r="10" spans="1:11" x14ac:dyDescent="0.2">
      <c r="A10" s="1" t="s">
        <v>77</v>
      </c>
      <c r="B10" s="84">
        <f>SUMIFS(Table1[5. Area of marine habitat under improved practices (ha)],Table1[Annual Review],B$5)</f>
        <v>0</v>
      </c>
      <c r="C10" s="84">
        <f>SUMIFS(Table1[5. Area of marine habitat under improved practices (ha)],Table1[Annual Review],C$5)</f>
        <v>581610</v>
      </c>
      <c r="D10" s="84">
        <f>SUMIFS(Table1[5. Area of marine habitat under improved practices (ha)],Table1[Annual Review],D$5)</f>
        <v>0</v>
      </c>
      <c r="E10" s="84">
        <f>SUMIFS(Table1[5. Area of marine habitat under improved practices (ha)],Table1[Annual Review],E$5)</f>
        <v>0</v>
      </c>
      <c r="F10" s="134">
        <f t="shared" si="0"/>
        <v>581610</v>
      </c>
      <c r="G10" s="88"/>
      <c r="I10" s="267"/>
    </row>
    <row r="11" spans="1:11" ht="15" x14ac:dyDescent="0.25">
      <c r="A11" s="116" t="s">
        <v>189</v>
      </c>
      <c r="B11" s="84">
        <f>SUMIFS(Table1[6. Greenhouse Gas Emissions Mitigated (tCO2e)],Table1[Annual Review],B$5)</f>
        <v>70267643.449999988</v>
      </c>
      <c r="C11" s="84">
        <f>SUMIFS(Table1[6. Greenhouse Gas Emissions Mitigated (tCO2e)],Table1[Annual Review],C$5)</f>
        <v>48186159.399999999</v>
      </c>
      <c r="D11" s="84">
        <f>SUMIFS(Table1[6. Greenhouse Gas Emissions Mitigated (tCO2e)],Table1[Annual Review],D$5)</f>
        <v>0</v>
      </c>
      <c r="E11" s="84">
        <f>SUMIFS(Table1[6. Greenhouse Gas Emissions Mitigated (tCO2e)],Table1[Annual Review],E$5)</f>
        <v>0</v>
      </c>
      <c r="F11" s="134">
        <f t="shared" si="0"/>
        <v>118453802.84999999</v>
      </c>
      <c r="G11" s="88"/>
      <c r="I11" s="267"/>
    </row>
    <row r="12" spans="1:11" ht="25.5" x14ac:dyDescent="0.2">
      <c r="A12" s="118" t="s">
        <v>190</v>
      </c>
      <c r="B12" s="84">
        <f>SUMIFS(Table1[11. People benefiting from GEF investment],Table1[Annual Review],B$5)</f>
        <v>304253</v>
      </c>
      <c r="C12" s="84">
        <f>SUMIFS(Table1[11. People benefiting from GEF investment],Table1[Annual Review],C$5)</f>
        <v>134396</v>
      </c>
      <c r="D12" s="84">
        <f>SUMIFS(Table1[11. People benefiting from GEF investment],Table1[Annual Review],D$5)</f>
        <v>0</v>
      </c>
      <c r="E12" s="84">
        <f>SUMIFS(Table1[11. People benefiting from GEF investment],Table1[Annual Review],E$5)</f>
        <v>0</v>
      </c>
      <c r="F12" s="134">
        <f t="shared" si="0"/>
        <v>438649</v>
      </c>
      <c r="G12" s="88"/>
      <c r="I12" s="267"/>
    </row>
    <row r="13" spans="1:11" x14ac:dyDescent="0.2">
      <c r="A13" s="1" t="s">
        <v>191</v>
      </c>
      <c r="B13" s="84">
        <f>SUMIFS(Table1[11.1 of whom women],Table1[Annual Review],B$5)</f>
        <v>153306</v>
      </c>
      <c r="C13" s="84">
        <f>SUMIFS(Table1[11.1 of whom women],Table1[Annual Review],C$5)</f>
        <v>67452</v>
      </c>
      <c r="D13" s="84">
        <f>SUMIFS(Table1[11.1 of whom women],Table1[Annual Review],D$5)</f>
        <v>0</v>
      </c>
      <c r="E13" s="84">
        <f>SUMIFS(Table1[11.1 of whom women],Table1[Annual Review],E$5)</f>
        <v>0</v>
      </c>
      <c r="F13" s="134">
        <f t="shared" si="0"/>
        <v>220758</v>
      </c>
      <c r="G13" s="88"/>
      <c r="I13" s="267"/>
    </row>
    <row r="14" spans="1:11" x14ac:dyDescent="0.2">
      <c r="A14" s="2" t="s">
        <v>192</v>
      </c>
      <c r="B14" s="87">
        <f>SUMIFS(Table1[Cofinancing],Table1[Annual Review],B$5)</f>
        <v>175982847.43000001</v>
      </c>
      <c r="C14" s="87">
        <f>SUMIFS(Table1[Cofinancing],Table1[Annual Review],C$5)</f>
        <v>142926039</v>
      </c>
      <c r="D14" s="87">
        <f>SUMIFS(Table1[Cofinancing],Table1[Annual Review],D$5)</f>
        <v>0</v>
      </c>
      <c r="E14" s="87">
        <f>SUMIFS(Table1[Cofinancing],Table1[Annual Review],E$5)</f>
        <v>0</v>
      </c>
      <c r="F14" s="231">
        <f t="shared" si="0"/>
        <v>318908886.43000001</v>
      </c>
      <c r="G14" s="88">
        <f>F14/F22</f>
        <v>2.3330515418469493</v>
      </c>
      <c r="I14" s="267"/>
    </row>
    <row r="15" spans="1:11" x14ac:dyDescent="0.2">
      <c r="A15" s="2" t="s">
        <v>193</v>
      </c>
      <c r="B15" s="87">
        <f>SUMIFS(Table1[Of which public],Table1[Annual Review],B$5)</f>
        <v>159715847.43000001</v>
      </c>
      <c r="C15" s="87">
        <f>SUMIFS(Table1[Of which public],Table1[Annual Review],C$5)</f>
        <v>117859450</v>
      </c>
      <c r="D15" s="87">
        <f>SUMIFS(Table1[Of which public],Table1[Annual Review],D$5)</f>
        <v>0</v>
      </c>
      <c r="E15" s="87">
        <f>SUMIFS(Table1[Of which public],Table1[Annual Review],E$5)</f>
        <v>0</v>
      </c>
      <c r="F15" s="231">
        <f t="shared" si="0"/>
        <v>277575297.43000001</v>
      </c>
      <c r="G15" s="88">
        <f>F15/F22</f>
        <v>2.0306661344472556</v>
      </c>
      <c r="I15" s="267"/>
    </row>
    <row r="16" spans="1:11" x14ac:dyDescent="0.2">
      <c r="A16" s="2" t="s">
        <v>194</v>
      </c>
      <c r="B16" s="87">
        <f>SUMIFS(Table1[Of which private],Table1[Annual Review],B$5)</f>
        <v>16267000</v>
      </c>
      <c r="C16" s="87">
        <f>SUMIFS(Table1[Of which private],Table1[Annual Review],C$5)</f>
        <v>25066589</v>
      </c>
      <c r="D16" s="87">
        <f>SUMIFS(Table1[Of which private],Table1[Annual Review],D$5)</f>
        <v>0</v>
      </c>
      <c r="E16" s="87">
        <f>SUMIFS(Table1[Of which private],Table1[Annual Review],E$5)</f>
        <v>0</v>
      </c>
      <c r="F16" s="231">
        <f t="shared" si="0"/>
        <v>41333589</v>
      </c>
      <c r="G16" s="88">
        <f>F16/F22</f>
        <v>0.30238540739969338</v>
      </c>
      <c r="I16" s="267"/>
    </row>
    <row r="17" spans="1:9" x14ac:dyDescent="0.2">
      <c r="A17" s="2" t="s">
        <v>195</v>
      </c>
      <c r="B17" s="87">
        <f>SUMIFS(Table1[SIDS/LDC Finance],Table1[Annual Review],B$5)</f>
        <v>7994243.333333333</v>
      </c>
      <c r="C17" s="87">
        <f>SUMIFS(Table1[SIDS/LDC Finance],Table1[Annual Review],C$5)</f>
        <v>26942845</v>
      </c>
      <c r="D17" s="87">
        <f>SUMIFS(Table1[SIDS/LDC Finance],Table1[Annual Review],D$5)</f>
        <v>0</v>
      </c>
      <c r="E17" s="87">
        <f>SUMIFS(Table1[SIDS/LDC Finance],Table1[Annual Review],E$5)</f>
        <v>0</v>
      </c>
      <c r="F17" s="231">
        <f>SUM(B17:E17)</f>
        <v>34937088.333333336</v>
      </c>
      <c r="G17" s="88"/>
      <c r="I17" s="267"/>
    </row>
    <row r="18" spans="1:9" x14ac:dyDescent="0.2">
      <c r="A18" s="2" t="s">
        <v>196</v>
      </c>
      <c r="B18" s="87">
        <f>SUMIFS(Table1[Grant Cost (USD)],Table1[Annual Review],B$5,Table1[Is Executing Agency an International Financial Institution (IFI)],"Yes")</f>
        <v>0</v>
      </c>
      <c r="C18" s="87">
        <f>SUMIFS(Table1[Grant Cost (USD)],Table1[Annual Review],C$5,Table1[Is Executing Agency an International Financial Institution (IFI)],"Yes")</f>
        <v>17090403</v>
      </c>
      <c r="D18" s="87">
        <f>SUMIFS(Table1[Grant Cost (USD)],Table1[Annual Review],D$5,Table1[Is Executing Agency an International Financial Institution (IFI)],"Yes")</f>
        <v>0</v>
      </c>
      <c r="E18" s="87">
        <f>SUMIFS(Table1[Grant Cost (USD)],Table1[Annual Review],E$5,Table1[Is Executing Agency an International Financial Institution (IFI)],"Yes")</f>
        <v>0</v>
      </c>
      <c r="F18" s="231">
        <f t="shared" si="0"/>
        <v>17090403</v>
      </c>
      <c r="G18" s="88"/>
      <c r="I18" s="267"/>
    </row>
    <row r="19" spans="1:9" x14ac:dyDescent="0.2">
      <c r="A19" s="2" t="s">
        <v>197</v>
      </c>
      <c r="B19" s="87">
        <f>SUMIFS(Table1[IPLC Financing],Table1[Annual Review],B$5)</f>
        <v>28817966</v>
      </c>
      <c r="C19" s="87">
        <f>SUMIFS(Table1[IPLC Financing],Table1[Annual Review],C$5)</f>
        <v>15854753.449999999</v>
      </c>
      <c r="D19" s="87">
        <f>SUMIFS(Table1[IPLC Financing],Table1[Annual Review],D$5)</f>
        <v>0</v>
      </c>
      <c r="E19" s="87">
        <f>SUMIFS(Table1[IPLC Financing],Table1[Annual Review],E$5)</f>
        <v>0</v>
      </c>
      <c r="F19" s="231">
        <f t="shared" si="0"/>
        <v>44672719.450000003</v>
      </c>
      <c r="G19" s="88"/>
      <c r="I19" s="267"/>
    </row>
    <row r="20" spans="1:9" ht="12.75" customHeight="1" x14ac:dyDescent="0.2">
      <c r="F20" s="84"/>
      <c r="G20" s="88"/>
    </row>
    <row r="21" spans="1:9" ht="12.75" customHeight="1" x14ac:dyDescent="0.2">
      <c r="A21" s="223" t="s">
        <v>198</v>
      </c>
      <c r="F21" s="84"/>
      <c r="G21" s="88"/>
    </row>
    <row r="22" spans="1:9" x14ac:dyDescent="0.2">
      <c r="A22" t="s">
        <v>199</v>
      </c>
      <c r="B22" s="87">
        <f>SUMIF(Table1[Annual Review],B5,Table1[Total GEF Cost])</f>
        <v>66168436</v>
      </c>
      <c r="C22" s="87">
        <f>SUMIF(Table1[Annual Review],C5,Table1[Total GEF Cost])</f>
        <v>70523309</v>
      </c>
      <c r="D22" s="87">
        <f>SUMIF(Table1[Annual Review],D5,Table1[Total GEF Cost])</f>
        <v>0</v>
      </c>
      <c r="E22" s="87">
        <f>SUMIF(Table1[Annual Review],E5,Table1[Total GEF Cost])</f>
        <v>0</v>
      </c>
      <c r="F22" s="231">
        <f t="shared" si="0"/>
        <v>136691745</v>
      </c>
      <c r="G22" s="88"/>
    </row>
    <row r="23" spans="1:9" x14ac:dyDescent="0.2">
      <c r="A23" t="s">
        <v>200</v>
      </c>
      <c r="B23" s="261">
        <f>COUNTIF(Table1[Annual Review],'Aggregate AR Results'!B5)</f>
        <v>7</v>
      </c>
      <c r="C23" s="261">
        <f>COUNTIF(Table1[Annual Review],'Aggregate AR Results'!C5)</f>
        <v>19</v>
      </c>
      <c r="D23" s="261">
        <f>COUNTIF(Table1[Annual Review],'Aggregate AR Results'!D5)</f>
        <v>0</v>
      </c>
      <c r="E23" s="261">
        <f>COUNTIF(Table1[Annual Review],'Aggregate AR Results'!E5)</f>
        <v>0</v>
      </c>
      <c r="F23" s="231"/>
      <c r="G23" s="88"/>
    </row>
    <row r="24" spans="1:9" x14ac:dyDescent="0.2">
      <c r="A24" t="s">
        <v>201</v>
      </c>
      <c r="B24" s="261">
        <v>8</v>
      </c>
      <c r="C24" s="261">
        <v>18</v>
      </c>
      <c r="D24" s="87"/>
      <c r="E24" s="87"/>
      <c r="F24" s="231"/>
      <c r="G24" s="88"/>
    </row>
    <row r="25" spans="1:9" x14ac:dyDescent="0.2">
      <c r="A25" t="s">
        <v>202</v>
      </c>
      <c r="B25" s="87">
        <f>B22/B23</f>
        <v>9452633.7142857146</v>
      </c>
      <c r="C25" s="87">
        <f>C22/C23</f>
        <v>3711753.1052631577</v>
      </c>
      <c r="D25" s="87"/>
      <c r="E25" s="87"/>
      <c r="F25" s="231"/>
      <c r="G25" s="88"/>
    </row>
    <row r="26" spans="1:9" x14ac:dyDescent="0.2">
      <c r="G26" s="88"/>
    </row>
    <row r="27" spans="1:9" x14ac:dyDescent="0.2">
      <c r="A27" t="s">
        <v>203</v>
      </c>
    </row>
    <row r="29" spans="1:9" ht="12.75" customHeight="1" x14ac:dyDescent="0.2"/>
    <row r="35" spans="14:14" x14ac:dyDescent="0.2">
      <c r="N35" t="s">
        <v>204</v>
      </c>
    </row>
  </sheetData>
  <mergeCells count="2">
    <mergeCell ref="B2:E2"/>
    <mergeCell ref="B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35A5D-E696-418B-BAEF-630CBAFF8E81}">
  <sheetPr>
    <tabColor rgb="FFFFFF00"/>
  </sheetPr>
  <dimension ref="A1:N29"/>
  <sheetViews>
    <sheetView workbookViewId="0">
      <selection activeCell="E26" sqref="E26"/>
    </sheetView>
  </sheetViews>
  <sheetFormatPr defaultRowHeight="12.75" x14ac:dyDescent="0.2"/>
  <cols>
    <col min="1" max="1" width="67" customWidth="1"/>
    <col min="2" max="3" width="14.140625" style="88" customWidth="1"/>
    <col min="4" max="5" width="14.140625" customWidth="1"/>
    <col min="6" max="6" width="15" customWidth="1"/>
    <col min="8" max="8" width="10.42578125" bestFit="1" customWidth="1"/>
  </cols>
  <sheetData>
    <row r="1" spans="1:11" x14ac:dyDescent="0.2">
      <c r="A1" s="236" t="s">
        <v>205</v>
      </c>
      <c r="B1" s="153"/>
      <c r="G1" s="152"/>
      <c r="K1" s="152"/>
    </row>
    <row r="2" spans="1:11" x14ac:dyDescent="0.2">
      <c r="A2" s="128"/>
      <c r="B2" s="333" t="s">
        <v>177</v>
      </c>
      <c r="C2" s="333"/>
      <c r="D2" s="333"/>
      <c r="E2" s="333"/>
      <c r="G2" s="152"/>
      <c r="K2" s="152"/>
    </row>
    <row r="3" spans="1:11" x14ac:dyDescent="0.2">
      <c r="A3" s="128"/>
      <c r="B3" s="233" t="s">
        <v>32</v>
      </c>
      <c r="C3" s="233" t="s">
        <v>33</v>
      </c>
      <c r="D3" s="233" t="s">
        <v>34</v>
      </c>
      <c r="E3" s="233" t="s">
        <v>35</v>
      </c>
      <c r="G3" s="152"/>
      <c r="K3" s="152"/>
    </row>
    <row r="4" spans="1:11" x14ac:dyDescent="0.2">
      <c r="A4" s="128"/>
      <c r="B4" s="334" t="s">
        <v>206</v>
      </c>
      <c r="C4" s="334"/>
      <c r="D4" s="334"/>
      <c r="E4" s="334"/>
      <c r="G4" s="152"/>
      <c r="K4" s="152"/>
    </row>
    <row r="5" spans="1:11" x14ac:dyDescent="0.2">
      <c r="A5" s="223" t="s">
        <v>207</v>
      </c>
      <c r="B5" s="234" t="s">
        <v>180</v>
      </c>
      <c r="C5" s="234" t="s">
        <v>181</v>
      </c>
      <c r="D5" s="234" t="s">
        <v>182</v>
      </c>
      <c r="E5" s="234" t="s">
        <v>183</v>
      </c>
      <c r="F5" s="225" t="s">
        <v>184</v>
      </c>
    </row>
    <row r="6" spans="1:11" ht="25.5" x14ac:dyDescent="0.2">
      <c r="A6" s="1" t="s">
        <v>155</v>
      </c>
      <c r="B6" s="84">
        <f>SUMIFS(Table1[11. People benefiting from GEF investment],Table1[Annual Review],B$5,Table1[Is defined as Principal or Signifcant for Climate Mitigation and/or Adaptation],"Yes")</f>
        <v>278683</v>
      </c>
      <c r="C6" s="84">
        <f>SUMIFS(Table1[11. People benefiting from GEF investment],Table1[Annual Review],C$5,Table1[Is defined as Principal or Signifcant for Climate Mitigation and/or Adaptation],"Yes")</f>
        <v>82859</v>
      </c>
      <c r="D6" s="84">
        <f>SUMIFS(Table1[11. People benefiting from GEF investment],Table1[Annual Review],D$5,Table1[Is defined as Principal or Signifcant for Climate Mitigation and/or Adaptation],"Yes")</f>
        <v>0</v>
      </c>
      <c r="E6" s="84">
        <f>SUMIFS(Table1[11. People benefiting from GEF investment],Table1[Annual Review],E$5,Table1[Is defined as Principal or Signifcant for Climate Mitigation and/or Adaptation],"Yes")</f>
        <v>0</v>
      </c>
      <c r="F6" s="134">
        <f t="shared" ref="F6:F11" si="0">SUM(B6:E6)</f>
        <v>361542</v>
      </c>
      <c r="I6" s="84"/>
    </row>
    <row r="7" spans="1:11" x14ac:dyDescent="0.2">
      <c r="A7" s="1" t="s">
        <v>208</v>
      </c>
      <c r="B7" s="84">
        <f>SUMIFS(Table1[11.1 of whom women],Table1[Annual Review],B$5,Table1[Is defined as Principal or Signifcant for Climate Mitigation and/or Adaptation],"Yes")</f>
        <v>141291</v>
      </c>
      <c r="C7" s="84">
        <f>SUMIFS(Table1[11.1 of whom women],Table1[Annual Review],C$5,Table1[Is defined as Principal or Signifcant for Climate Mitigation and/or Adaptation],"Yes")</f>
        <v>41310</v>
      </c>
      <c r="D7" s="84">
        <f>SUMIFS(Table1[11.1 of whom women],Table1[Annual Review],D$5,Table1[Is defined as Principal or Signifcant for Climate Mitigation and/or Adaptation],"Yes")</f>
        <v>0</v>
      </c>
      <c r="E7" s="84">
        <f>SUMIFS(Table1[11.1 of whom women],Table1[Annual Review],E$5,Table1[Is defined as Principal or Signifcant for Climate Mitigation and/or Adaptation],"Yes")</f>
        <v>0</v>
      </c>
      <c r="F7" s="134">
        <f t="shared" si="0"/>
        <v>182601</v>
      </c>
    </row>
    <row r="8" spans="1:11" ht="25.5" x14ac:dyDescent="0.2">
      <c r="A8" s="1" t="s">
        <v>209</v>
      </c>
      <c r="B8" s="84">
        <f>SUMIFS(Table1[6. Greenhouse Gas Emissions Mitigated (tCO2e)],Table1[Annual Review],B$5)</f>
        <v>70267643.449999988</v>
      </c>
      <c r="C8" s="84">
        <f>SUMIFS(Table1[6. Greenhouse Gas Emissions Mitigated (tCO2e)],Table1[Annual Review],C$5)</f>
        <v>48186159.399999999</v>
      </c>
      <c r="D8" s="84">
        <f>SUMIFS(Table1[6. Greenhouse Gas Emissions Mitigated (tCO2e)],Table1[Annual Review],D$5)</f>
        <v>0</v>
      </c>
      <c r="E8" s="84">
        <f>SUMIFS(Table1[6. Greenhouse Gas Emissions Mitigated (tCO2e)],Table1[Annual Review],E$5)</f>
        <v>0</v>
      </c>
      <c r="F8" s="134">
        <f t="shared" si="0"/>
        <v>118453802.84999999</v>
      </c>
    </row>
    <row r="9" spans="1:11" ht="25.5" x14ac:dyDescent="0.2">
      <c r="A9" s="1" t="s">
        <v>157</v>
      </c>
      <c r="B9" s="87">
        <f>SUMIFS(Table1[Of which public],Table1[Annual Review],B$5,Table1[Is defined as Principal or Signifcant for Climate Mitigation and/or Adaptation],"Yes")</f>
        <v>129182532</v>
      </c>
      <c r="C9" s="87">
        <f>SUMIFS(Table1[Of which public],Table1[Annual Review],C$5,Table1[Is defined as Principal or Signifcant for Climate Mitigation and/or Adaptation],"Yes")</f>
        <v>59825123</v>
      </c>
      <c r="D9" s="87">
        <f>SUMIFS(Table1[Of which public],Table1[Annual Review],D$5,Table1[Is defined as Principal or Signifcant for Climate Mitigation and/or Adaptation],"Yes")</f>
        <v>0</v>
      </c>
      <c r="E9" s="87">
        <f>SUMIFS(Table1[Of which public],Table1[Annual Review],E$5,Table1[Is defined as Principal or Signifcant for Climate Mitigation and/or Adaptation],"Yes")</f>
        <v>0</v>
      </c>
      <c r="F9" s="231">
        <f t="shared" si="0"/>
        <v>189007655</v>
      </c>
    </row>
    <row r="10" spans="1:11" ht="25.5" x14ac:dyDescent="0.2">
      <c r="A10" s="1" t="s">
        <v>158</v>
      </c>
      <c r="B10" s="87">
        <f>SUMIFS(Table1[Of which private],Table1[Annual Review],B$5,Table1[Is defined as Principal or Signifcant for Climate Mitigation and/or Adaptation],"Yes")</f>
        <v>16267000</v>
      </c>
      <c r="C10" s="87">
        <f>SUMIFS(Table1[Of which private],Table1[Annual Review],C$5,Table1[Is defined as Principal or Signifcant for Climate Mitigation and/or Adaptation],"Yes")</f>
        <v>20804105</v>
      </c>
      <c r="D10" s="87">
        <f>SUMIFS(Table1[Of which private],Table1[Annual Review],D$5,Table1[Is defined as Principal or Signifcant for Climate Mitigation and/or Adaptation],"Yes")</f>
        <v>0</v>
      </c>
      <c r="E10" s="87">
        <f>SUMIFS(Table1[Of which private],Table1[Annual Review],E$5,Table1[Is defined as Principal or Signifcant for Climate Mitigation and/or Adaptation],"Yes")</f>
        <v>0</v>
      </c>
      <c r="F10" s="231">
        <f t="shared" si="0"/>
        <v>37071105</v>
      </c>
    </row>
    <row r="11" spans="1:11" ht="25.5" x14ac:dyDescent="0.2">
      <c r="A11" s="1" t="s">
        <v>210</v>
      </c>
      <c r="B11" s="84">
        <f>SUM(B12:B16)</f>
        <v>44320796.530000001</v>
      </c>
      <c r="C11" s="84">
        <f t="shared" ref="C11:E11" si="1">SUM(C12:C16)</f>
        <v>13134777.129999999</v>
      </c>
      <c r="D11" s="84">
        <f t="shared" si="1"/>
        <v>0</v>
      </c>
      <c r="E11" s="84">
        <f t="shared" si="1"/>
        <v>0</v>
      </c>
      <c r="F11" s="134">
        <f t="shared" si="0"/>
        <v>57455573.659999996</v>
      </c>
    </row>
    <row r="12" spans="1:11" x14ac:dyDescent="0.2">
      <c r="A12" s="2" t="s">
        <v>211</v>
      </c>
      <c r="B12" s="84">
        <f>SUMIFS(Table1[1. Terrestrial protected areas created or under improved management (Ha)],Table1[Annual Review],B$5)</f>
        <v>11238703.09</v>
      </c>
      <c r="C12" s="84">
        <f>SUMIFS(Table1[1. Terrestrial protected areas created or under improved management (Ha)],Table1[Annual Review],C$5)</f>
        <v>3645384.56</v>
      </c>
      <c r="D12" s="84">
        <f>SUMIFS(Table1[1. Terrestrial protected areas created or under improved management (Ha)],Table1[Annual Review],D$5)</f>
        <v>0</v>
      </c>
      <c r="E12" s="84">
        <f>SUMIFS(Table1[1. Terrestrial protected areas created or under improved management (Ha)],Table1[Annual Review],E$5)</f>
        <v>0</v>
      </c>
      <c r="F12" s="134">
        <f t="shared" ref="F12:F19" si="2">SUM(B12:E12)</f>
        <v>14884087.65</v>
      </c>
    </row>
    <row r="13" spans="1:11" x14ac:dyDescent="0.2">
      <c r="A13" s="2" t="s">
        <v>212</v>
      </c>
      <c r="B13" s="84">
        <f>SUMIFS(Table1[2. Marine protected areas created or under improved management (Ha)],Table1[Annual Review],B$5)</f>
        <v>22357179.84</v>
      </c>
      <c r="C13" s="84">
        <f>SUMIFS(Table1[2. Marine protected areas created or under improved management (Ha)],Table1[Annual Review],C$5)</f>
        <v>8117490.3599999994</v>
      </c>
      <c r="D13" s="84">
        <f>SUMIFS(Table1[2. Marine protected areas created or under improved management (Ha)],Table1[Annual Review],D$5)</f>
        <v>0</v>
      </c>
      <c r="E13" s="84">
        <f>SUMIFS(Table1[2. Marine protected areas created or under improved management (Ha)],Table1[Annual Review],E$5)</f>
        <v>0</v>
      </c>
      <c r="F13" s="134">
        <f t="shared" si="2"/>
        <v>30474670.199999999</v>
      </c>
    </row>
    <row r="14" spans="1:11" ht="15" x14ac:dyDescent="0.25">
      <c r="A14" s="116" t="s">
        <v>213</v>
      </c>
      <c r="B14" s="84">
        <f>SUMIFS(Table1[3. Area of land and ecosystems under restoration],Table1[Annual Review],B$5)</f>
        <v>15000</v>
      </c>
      <c r="C14" s="84">
        <f>SUMIFS(Table1[3. Area of land and ecosystems under restoration],Table1[Annual Review],C$5)</f>
        <v>63973.04</v>
      </c>
      <c r="D14" s="84">
        <f>SUMIFS(Table1[3. Area of land and ecosystems under restoration],Table1[Annual Review],D$5)</f>
        <v>0</v>
      </c>
      <c r="E14" s="84">
        <f>SUMIFS(Table1[3. Area of land and ecosystems under restoration],Table1[Annual Review],E$5)</f>
        <v>0</v>
      </c>
      <c r="F14" s="134">
        <f t="shared" si="2"/>
        <v>78973.040000000008</v>
      </c>
    </row>
    <row r="15" spans="1:11" ht="30" x14ac:dyDescent="0.25">
      <c r="A15" s="116" t="s">
        <v>214</v>
      </c>
      <c r="B15" s="84">
        <f>SUMIFS(Table1[4. Area of landscape under improved pratice, excluding protected areas (Ha)],Table1[Annual Review],B$5)</f>
        <v>10709913.6</v>
      </c>
      <c r="C15" s="84">
        <f>SUMIFS(Table1[4. Area of landscape under improved pratice, excluding protected areas (Ha)],Table1[Annual Review],C$5)</f>
        <v>726319.17</v>
      </c>
      <c r="D15" s="84">
        <f>SUMIFS(Table1[4. Area of landscape under improved pratice, excluding protected areas (Ha)],Table1[Annual Review],D$5)</f>
        <v>0</v>
      </c>
      <c r="E15" s="84">
        <f>SUMIFS(Table1[4. Area of landscape under improved pratice, excluding protected areas (Ha)],Table1[Annual Review],E$5)</f>
        <v>0</v>
      </c>
      <c r="F15" s="134">
        <f t="shared" si="2"/>
        <v>11436232.77</v>
      </c>
    </row>
    <row r="16" spans="1:11" ht="15" x14ac:dyDescent="0.25">
      <c r="A16" s="116" t="s">
        <v>215</v>
      </c>
      <c r="B16" s="84">
        <f>SUMIFS(Table1[5. Area of marine habitat under improved practices (ha)],Table1[Annual Review],B$5)</f>
        <v>0</v>
      </c>
      <c r="C16" s="84">
        <f>SUMIFS(Table1[5. Area of marine habitat under improved practices (ha)],Table1[Annual Review],C$5)</f>
        <v>581610</v>
      </c>
      <c r="D16" s="84">
        <f>SUMIFS(Table1[5. Area of marine habitat under improved practices (ha)],Table1[Annual Review],D$5)</f>
        <v>0</v>
      </c>
      <c r="E16" s="84">
        <f>SUMIFS(Table1[5. Area of marine habitat under improved practices (ha)],Table1[Annual Review],E$5)</f>
        <v>0</v>
      </c>
      <c r="F16" s="134">
        <f t="shared" si="2"/>
        <v>581610</v>
      </c>
    </row>
    <row r="18" spans="1:14" ht="12.75" customHeight="1" x14ac:dyDescent="0.2">
      <c r="A18" s="223" t="s">
        <v>216</v>
      </c>
      <c r="F18" s="84"/>
    </row>
    <row r="19" spans="1:14" x14ac:dyDescent="0.2">
      <c r="A19" t="s">
        <v>199</v>
      </c>
      <c r="B19" s="87">
        <f>SUMIF(Table1[Annual Review],B5,Table1[Total GEF Cost])</f>
        <v>66168436</v>
      </c>
      <c r="C19" s="87">
        <f>SUMIF(Table1[Annual Review],C5,Table1[Total GEF Cost])</f>
        <v>70523309</v>
      </c>
      <c r="D19" s="87">
        <f>SUMIF(Table1[Annual Review],D5,Table1[Total GEF Cost])</f>
        <v>0</v>
      </c>
      <c r="E19" s="87">
        <f>SUMIF(Table1[Annual Review],E5,Table1[Total GEF Cost])</f>
        <v>0</v>
      </c>
      <c r="F19" s="231">
        <f t="shared" si="2"/>
        <v>136691745</v>
      </c>
    </row>
    <row r="21" spans="1:14" ht="82.5" customHeight="1" x14ac:dyDescent="0.2">
      <c r="A21" s="335" t="s">
        <v>217</v>
      </c>
      <c r="B21" s="336"/>
      <c r="C21" s="336"/>
      <c r="D21" s="336"/>
      <c r="E21" s="336"/>
      <c r="F21" s="336"/>
    </row>
    <row r="23" spans="1:14" ht="12.75" customHeight="1" x14ac:dyDescent="0.2"/>
    <row r="29" spans="1:14" x14ac:dyDescent="0.2">
      <c r="N29" t="s">
        <v>204</v>
      </c>
    </row>
  </sheetData>
  <mergeCells count="3">
    <mergeCell ref="B2:E2"/>
    <mergeCell ref="B4:E4"/>
    <mergeCell ref="A21:F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80507-3B4C-4608-A185-0E78C51264FB}">
  <sheetPr>
    <tabColor rgb="FFFFC000"/>
  </sheetPr>
  <dimension ref="A1:J37"/>
  <sheetViews>
    <sheetView workbookViewId="0">
      <selection activeCell="H6" sqref="H6"/>
    </sheetView>
  </sheetViews>
  <sheetFormatPr defaultRowHeight="12.75" x14ac:dyDescent="0.2"/>
  <cols>
    <col min="1" max="1" width="76.28515625" customWidth="1"/>
    <col min="2" max="2" width="17.7109375" customWidth="1"/>
    <col min="3" max="7" width="16.42578125" customWidth="1"/>
    <col min="8" max="8" width="16.42578125" style="133" customWidth="1"/>
    <col min="11" max="11" width="15.28515625" customWidth="1"/>
  </cols>
  <sheetData>
    <row r="1" spans="1:10" ht="18" x14ac:dyDescent="0.25">
      <c r="A1" s="230" t="s">
        <v>218</v>
      </c>
      <c r="B1" s="186"/>
      <c r="C1" s="128"/>
    </row>
    <row r="2" spans="1:10" ht="63.75" x14ac:dyDescent="0.2">
      <c r="A2" s="70" t="s">
        <v>148</v>
      </c>
      <c r="B2" s="70" t="s">
        <v>219</v>
      </c>
      <c r="C2" s="70" t="s">
        <v>150</v>
      </c>
      <c r="D2" s="70" t="s">
        <v>220</v>
      </c>
      <c r="E2" s="70" t="s">
        <v>221</v>
      </c>
      <c r="F2" s="70" t="s">
        <v>222</v>
      </c>
      <c r="G2" s="70" t="s">
        <v>223</v>
      </c>
      <c r="H2" s="213" t="s">
        <v>224</v>
      </c>
    </row>
    <row r="3" spans="1:10" ht="25.5" x14ac:dyDescent="0.2">
      <c r="A3" s="1" t="s">
        <v>155</v>
      </c>
      <c r="B3" s="84">
        <f>'Aggregate ICF Results'!B6</f>
        <v>278683</v>
      </c>
      <c r="C3" s="84">
        <f>B3*Inputs!$C$3</f>
        <v>222946.40000000002</v>
      </c>
      <c r="D3" s="88"/>
      <c r="E3" s="88"/>
      <c r="F3" s="88"/>
      <c r="G3" s="84">
        <f>C3*'GBFF Pot'!$B$5</f>
        <v>42094.709574322696</v>
      </c>
      <c r="H3" s="134">
        <f>G3</f>
        <v>42094.709574322696</v>
      </c>
    </row>
    <row r="4" spans="1:10" x14ac:dyDescent="0.2">
      <c r="A4" s="1" t="s">
        <v>208</v>
      </c>
      <c r="B4" s="84">
        <f>'Aggregate ICF Results'!B7</f>
        <v>141291</v>
      </c>
      <c r="C4" s="84">
        <f>B4*Inputs!$C$3</f>
        <v>113032.8</v>
      </c>
      <c r="D4" s="88"/>
      <c r="E4" s="88"/>
      <c r="F4" s="88"/>
      <c r="G4" s="84">
        <f>C4*'GBFF Pot'!$B$5</f>
        <v>21341.824260775247</v>
      </c>
      <c r="H4" s="134">
        <f t="shared" ref="H4:H13" si="0">G4</f>
        <v>21341.824260775247</v>
      </c>
    </row>
    <row r="5" spans="1:10" x14ac:dyDescent="0.2">
      <c r="A5" s="1" t="s">
        <v>209</v>
      </c>
      <c r="B5" s="84">
        <f>'Aggregate ICF Results'!B8</f>
        <v>70267643.449999988</v>
      </c>
      <c r="C5" s="84">
        <f>B5*Inputs!$C$3</f>
        <v>56214114.75999999</v>
      </c>
      <c r="D5" s="84"/>
      <c r="E5" s="84"/>
      <c r="F5" s="84"/>
      <c r="G5" s="84">
        <f>C5*'GBFF Pot'!$B$5</f>
        <v>10613837.383334499</v>
      </c>
      <c r="H5" s="134">
        <f t="shared" si="0"/>
        <v>10613837.383334499</v>
      </c>
      <c r="J5" s="181"/>
    </row>
    <row r="6" spans="1:10" ht="25.5" x14ac:dyDescent="0.2">
      <c r="A6" s="1" t="s">
        <v>225</v>
      </c>
      <c r="B6" s="87">
        <f>'Aggregate ICF Results'!B9</f>
        <v>129182532</v>
      </c>
      <c r="C6" s="87"/>
      <c r="D6" s="87"/>
      <c r="E6" s="87">
        <f>B6*Inputs!$C$5</f>
        <v>64591266</v>
      </c>
      <c r="F6" s="122">
        <f>E6*Inputs!$C$8</f>
        <v>50510370.012000002</v>
      </c>
      <c r="G6" s="122">
        <f>F6*'GBFF Pot'!$B$5</f>
        <v>9536908.2261329107</v>
      </c>
      <c r="H6" s="214">
        <f t="shared" si="0"/>
        <v>9536908.2261329107</v>
      </c>
      <c r="J6" s="181"/>
    </row>
    <row r="7" spans="1:10" ht="25.5" x14ac:dyDescent="0.2">
      <c r="A7" s="1" t="s">
        <v>226</v>
      </c>
      <c r="B7" s="87">
        <f>'Aggregate ICF Results'!B10</f>
        <v>16267000</v>
      </c>
      <c r="C7" s="87"/>
      <c r="D7" s="87"/>
      <c r="E7" s="87">
        <f>B7*Inputs!$C$5</f>
        <v>8133500</v>
      </c>
      <c r="F7" s="122">
        <f>E7*Inputs!$C$8</f>
        <v>6360397</v>
      </c>
      <c r="G7" s="122">
        <f>F7*'GBFF Pot'!$B$5</f>
        <v>1200912.257351513</v>
      </c>
      <c r="H7" s="214">
        <f t="shared" si="0"/>
        <v>1200912.257351513</v>
      </c>
      <c r="J7" s="87"/>
    </row>
    <row r="8" spans="1:10" ht="25.5" x14ac:dyDescent="0.2">
      <c r="A8" s="1" t="s">
        <v>210</v>
      </c>
      <c r="B8" s="84">
        <f>'Aggregate ICF Results'!B11</f>
        <v>44320796.530000001</v>
      </c>
      <c r="C8" s="84">
        <f>B8*Inputs!$C$3</f>
        <v>35456637.223999999</v>
      </c>
      <c r="D8" s="84">
        <f>C8*Inputs!C$4</f>
        <v>33683805.362799995</v>
      </c>
      <c r="E8" s="84"/>
      <c r="F8" s="122"/>
      <c r="G8" s="84">
        <f>D8*'GBFF Pot'!$B$5</f>
        <v>6359869.4758250369</v>
      </c>
      <c r="H8" s="134">
        <f t="shared" si="0"/>
        <v>6359869.4758250369</v>
      </c>
    </row>
    <row r="9" spans="1:10" x14ac:dyDescent="0.2">
      <c r="A9" s="217" t="s">
        <v>211</v>
      </c>
      <c r="B9" s="84">
        <f>'Aggregate ICF Results'!B12</f>
        <v>11238703.09</v>
      </c>
      <c r="C9" s="84">
        <f>B9*Inputs!$C$3</f>
        <v>8990962.472000001</v>
      </c>
      <c r="D9" s="84">
        <f>C9*Inputs!C$4</f>
        <v>8541414.3484000005</v>
      </c>
      <c r="E9" s="84"/>
      <c r="F9" s="122"/>
      <c r="G9" s="84">
        <f>D9*'GBFF Pot'!$B$5</f>
        <v>1612712.0973913495</v>
      </c>
      <c r="H9" s="134">
        <f t="shared" si="0"/>
        <v>1612712.0973913495</v>
      </c>
    </row>
    <row r="10" spans="1:10" x14ac:dyDescent="0.2">
      <c r="A10" s="217" t="s">
        <v>212</v>
      </c>
      <c r="B10" s="84">
        <f>'Aggregate ICF Results'!B13</f>
        <v>22357179.84</v>
      </c>
      <c r="C10" s="84">
        <f>B10*Inputs!$C$3</f>
        <v>17885743.872000001</v>
      </c>
      <c r="D10" s="84">
        <f>C10*Inputs!C$4</f>
        <v>16991456.678399999</v>
      </c>
      <c r="E10" s="84"/>
      <c r="F10" s="122"/>
      <c r="G10" s="84">
        <f>D10*'GBFF Pot'!$B$5</f>
        <v>3208172.1621068278</v>
      </c>
      <c r="H10" s="134">
        <f t="shared" si="0"/>
        <v>3208172.1621068278</v>
      </c>
    </row>
    <row r="11" spans="1:10" x14ac:dyDescent="0.2">
      <c r="A11" s="217" t="s">
        <v>213</v>
      </c>
      <c r="B11" s="84">
        <f>'Aggregate ICF Results'!B14</f>
        <v>15000</v>
      </c>
      <c r="C11" s="84">
        <f>B11*Inputs!$C$3</f>
        <v>12000</v>
      </c>
      <c r="D11" s="84">
        <f>C11*Inputs!C$4</f>
        <v>11400</v>
      </c>
      <c r="E11" s="84"/>
      <c r="F11" s="122"/>
      <c r="G11" s="84">
        <f>D11*'GBFF Pot'!$B$5</f>
        <v>2152.4442159518103</v>
      </c>
      <c r="H11" s="134">
        <f t="shared" si="0"/>
        <v>2152.4442159518103</v>
      </c>
    </row>
    <row r="12" spans="1:10" ht="16.5" customHeight="1" x14ac:dyDescent="0.2">
      <c r="A12" s="219" t="s">
        <v>214</v>
      </c>
      <c r="B12" s="84">
        <f>'Aggregate ICF Results'!B15</f>
        <v>10709913.6</v>
      </c>
      <c r="C12" s="84">
        <f>B12*Inputs!$C$3</f>
        <v>8567930.8800000008</v>
      </c>
      <c r="D12" s="84">
        <f>C12*Inputs!C$4</f>
        <v>8139534.3360000001</v>
      </c>
      <c r="E12" s="84"/>
      <c r="F12" s="122"/>
      <c r="G12" s="84">
        <f>D12*'GBFF Pot'!$B$5</f>
        <v>1536832.7721109088</v>
      </c>
      <c r="H12" s="134">
        <f t="shared" si="0"/>
        <v>1536832.7721109088</v>
      </c>
    </row>
    <row r="13" spans="1:10" x14ac:dyDescent="0.2">
      <c r="A13" s="217" t="s">
        <v>215</v>
      </c>
      <c r="B13" s="84">
        <f>'Aggregate ICF Results'!B16</f>
        <v>0</v>
      </c>
      <c r="C13" s="84">
        <f>B13*Inputs!$C$3</f>
        <v>0</v>
      </c>
      <c r="D13" s="84">
        <f>C13*Inputs!C$4</f>
        <v>0</v>
      </c>
      <c r="E13" s="84"/>
      <c r="F13" s="122"/>
      <c r="G13" s="84">
        <f>D13*'AR25 Results'!G8</f>
        <v>0</v>
      </c>
      <c r="H13" s="134">
        <f t="shared" si="0"/>
        <v>0</v>
      </c>
    </row>
    <row r="14" spans="1:10" x14ac:dyDescent="0.2">
      <c r="A14" s="1"/>
      <c r="C14" s="88"/>
      <c r="D14" s="84"/>
      <c r="E14" s="88"/>
      <c r="F14" s="122"/>
      <c r="G14" s="84"/>
      <c r="H14" s="84"/>
    </row>
    <row r="15" spans="1:10" ht="15" x14ac:dyDescent="0.25">
      <c r="A15" s="115" t="s">
        <v>160</v>
      </c>
      <c r="B15" s="223"/>
      <c r="C15" s="88"/>
      <c r="D15" s="84"/>
      <c r="E15" s="187"/>
      <c r="F15" s="122"/>
      <c r="G15" s="84"/>
      <c r="H15" s="115"/>
    </row>
    <row r="16" spans="1:10" x14ac:dyDescent="0.2">
      <c r="A16" s="1" t="s">
        <v>185</v>
      </c>
      <c r="B16" s="84">
        <f>'Aggregate AR Results'!B6</f>
        <v>11238703.09</v>
      </c>
      <c r="C16" s="84">
        <f>B16*Inputs!$C$3</f>
        <v>8990962.472000001</v>
      </c>
      <c r="D16" s="84"/>
      <c r="E16" s="88"/>
      <c r="F16" s="122"/>
      <c r="G16" s="84">
        <f>C16*'GBFF Pot'!$B$5</f>
        <v>1697591.6814645785</v>
      </c>
      <c r="H16" s="134">
        <f t="shared" ref="H16:H25" si="1">G16</f>
        <v>1697591.6814645785</v>
      </c>
    </row>
    <row r="17" spans="1:8" x14ac:dyDescent="0.2">
      <c r="A17" s="1" t="s">
        <v>186</v>
      </c>
      <c r="B17" s="84">
        <f>'Aggregate AR Results'!B7</f>
        <v>22357179.84</v>
      </c>
      <c r="C17" s="84">
        <f>B17*Inputs!$C$3</f>
        <v>17885743.872000001</v>
      </c>
      <c r="D17" s="84"/>
      <c r="E17" s="88"/>
      <c r="F17" s="122"/>
      <c r="G17" s="84">
        <f>C17*'GBFF Pot'!$B$5</f>
        <v>3377023.3285335037</v>
      </c>
      <c r="H17" s="134">
        <f t="shared" si="1"/>
        <v>3377023.3285335037</v>
      </c>
    </row>
    <row r="18" spans="1:8" x14ac:dyDescent="0.2">
      <c r="A18" s="1" t="s">
        <v>67</v>
      </c>
      <c r="B18" s="84">
        <f>'Aggregate AR Results'!B8</f>
        <v>15000</v>
      </c>
      <c r="C18" s="84">
        <f>B18*Inputs!$C$3</f>
        <v>12000</v>
      </c>
      <c r="D18" s="84"/>
      <c r="E18" s="88"/>
      <c r="F18" s="122"/>
      <c r="G18" s="84">
        <f>C18*'GBFF Pot'!$B$5</f>
        <v>2265.7307536334847</v>
      </c>
      <c r="H18" s="134">
        <f t="shared" si="1"/>
        <v>2265.7307536334847</v>
      </c>
    </row>
    <row r="19" spans="1:8" x14ac:dyDescent="0.2">
      <c r="A19" s="1" t="s">
        <v>72</v>
      </c>
      <c r="B19" s="84">
        <f>'Aggregate AR Results'!B9</f>
        <v>10709913.6</v>
      </c>
      <c r="C19" s="84">
        <f>B19*Inputs!$C$3</f>
        <v>8567930.8800000008</v>
      </c>
      <c r="D19" s="84"/>
      <c r="E19" s="88"/>
      <c r="F19" s="122"/>
      <c r="G19" s="84">
        <f>C19*'GBFF Pot'!$B$5</f>
        <v>1617718.7074851673</v>
      </c>
      <c r="H19" s="134">
        <f t="shared" si="1"/>
        <v>1617718.7074851673</v>
      </c>
    </row>
    <row r="20" spans="1:8" x14ac:dyDescent="0.2">
      <c r="A20" s="1" t="s">
        <v>77</v>
      </c>
      <c r="B20" s="84">
        <f>'Aggregate AR Results'!B10</f>
        <v>0</v>
      </c>
      <c r="C20" s="84">
        <f>B20*Inputs!$C$3</f>
        <v>0</v>
      </c>
      <c r="D20" s="84"/>
      <c r="E20" s="88"/>
      <c r="F20" s="122"/>
      <c r="G20" s="84">
        <f>C20*'GBFF Pot'!$B$5</f>
        <v>0</v>
      </c>
      <c r="H20" s="134">
        <f t="shared" si="1"/>
        <v>0</v>
      </c>
    </row>
    <row r="21" spans="1:8" x14ac:dyDescent="0.2">
      <c r="A21" t="s">
        <v>227</v>
      </c>
      <c r="B21" s="84">
        <f>'Aggregate AR Results'!B12</f>
        <v>304253</v>
      </c>
      <c r="C21" s="84">
        <f>B21*Inputs!$C$3</f>
        <v>243402.40000000002</v>
      </c>
      <c r="D21" s="88"/>
      <c r="E21" s="88"/>
      <c r="F21" s="122"/>
      <c r="G21" s="84">
        <f>C21*'GBFF Pot'!$B$5</f>
        <v>45957.025265683245</v>
      </c>
      <c r="H21" s="134">
        <f t="shared" si="1"/>
        <v>45957.025265683245</v>
      </c>
    </row>
    <row r="22" spans="1:8" x14ac:dyDescent="0.2">
      <c r="A22" s="1" t="s">
        <v>228</v>
      </c>
      <c r="B22" s="84">
        <f>'Aggregate AR Results'!B13</f>
        <v>153306</v>
      </c>
      <c r="C22" s="84">
        <f>B22*Inputs!$C$3</f>
        <v>122644.8</v>
      </c>
      <c r="D22" s="88"/>
      <c r="E22" s="88"/>
      <c r="F22" s="122"/>
      <c r="G22" s="84">
        <f>C22*'GBFF Pot'!$B$5</f>
        <v>23156.67459443567</v>
      </c>
      <c r="H22" s="134">
        <f t="shared" si="1"/>
        <v>23156.67459443567</v>
      </c>
    </row>
    <row r="23" spans="1:8" x14ac:dyDescent="0.2">
      <c r="A23" s="1" t="s">
        <v>229</v>
      </c>
      <c r="B23" s="87">
        <f>'Aggregate AR Results'!B14</f>
        <v>175982847.43000001</v>
      </c>
      <c r="C23" s="88"/>
      <c r="D23" s="88"/>
      <c r="E23" s="87"/>
      <c r="F23" s="122">
        <f>B23*Inputs!$C$8</f>
        <v>137618586.69026002</v>
      </c>
      <c r="G23" s="122">
        <f>F23*'GBFF Pot'!$B$5</f>
        <v>25983888.677974824</v>
      </c>
      <c r="H23" s="214">
        <f t="shared" si="1"/>
        <v>25983888.677974824</v>
      </c>
    </row>
    <row r="24" spans="1:8" x14ac:dyDescent="0.2">
      <c r="A24" s="1" t="s">
        <v>230</v>
      </c>
      <c r="B24" s="87">
        <f>'Aggregate AR Results'!B15</f>
        <v>159715847.43000001</v>
      </c>
      <c r="C24" s="88"/>
      <c r="D24" s="88"/>
      <c r="E24" s="87"/>
      <c r="F24" s="122">
        <f>B24*Inputs!$C$8</f>
        <v>124897792.69026001</v>
      </c>
      <c r="G24" s="122">
        <f>F24*'GBFF Pot'!$B$5</f>
        <v>23582064.163271796</v>
      </c>
      <c r="H24" s="214">
        <f t="shared" si="1"/>
        <v>23582064.163271796</v>
      </c>
    </row>
    <row r="25" spans="1:8" x14ac:dyDescent="0.2">
      <c r="A25" s="1" t="s">
        <v>231</v>
      </c>
      <c r="B25" s="87">
        <f>'Aggregate AR Results'!B16</f>
        <v>16267000</v>
      </c>
      <c r="C25" s="88"/>
      <c r="D25" s="88"/>
      <c r="E25" s="87"/>
      <c r="F25" s="122">
        <f>B25*Inputs!$C$8</f>
        <v>12720794</v>
      </c>
      <c r="G25" s="122">
        <f>F25*'GBFF Pot'!$B$5</f>
        <v>2401824.514703026</v>
      </c>
      <c r="H25" s="214">
        <f t="shared" si="1"/>
        <v>2401824.514703026</v>
      </c>
    </row>
    <row r="26" spans="1:8" x14ac:dyDescent="0.2">
      <c r="A26" s="1" t="s">
        <v>232</v>
      </c>
      <c r="B26" s="86">
        <f>B23/B34</f>
        <v>2.6596192696771617</v>
      </c>
      <c r="C26" s="88"/>
      <c r="D26" s="88"/>
      <c r="E26" s="87"/>
      <c r="F26" s="122"/>
      <c r="G26" s="122"/>
      <c r="H26" s="215">
        <f>B26</f>
        <v>2.6596192696771617</v>
      </c>
    </row>
    <row r="27" spans="1:8" x14ac:dyDescent="0.2">
      <c r="A27" s="1" t="s">
        <v>233</v>
      </c>
      <c r="B27" s="87">
        <f>'Aggregate AR Results'!B17</f>
        <v>7994243.333333333</v>
      </c>
      <c r="C27" s="88"/>
      <c r="D27" s="88"/>
      <c r="E27" s="87"/>
      <c r="F27" s="122">
        <f>B27*Inputs!$C$8</f>
        <v>6251498.2866666671</v>
      </c>
      <c r="G27" s="122">
        <f>F27*'GBFF Pot'!$B$5</f>
        <v>1180350.9936989755</v>
      </c>
      <c r="H27" s="214">
        <f>G27</f>
        <v>1180350.9936989755</v>
      </c>
    </row>
    <row r="28" spans="1:8" x14ac:dyDescent="0.2">
      <c r="A28" s="1" t="s">
        <v>234</v>
      </c>
      <c r="B28" s="218">
        <f>B27/B34</f>
        <v>0.12081656778669111</v>
      </c>
      <c r="C28" s="88"/>
      <c r="D28" s="88"/>
      <c r="E28" s="87"/>
      <c r="F28" s="122"/>
      <c r="G28" s="122"/>
      <c r="H28" s="216">
        <f>B28</f>
        <v>0.12081656778669111</v>
      </c>
    </row>
    <row r="29" spans="1:8" x14ac:dyDescent="0.2">
      <c r="A29" s="1" t="s">
        <v>235</v>
      </c>
      <c r="B29" s="87">
        <f>'Aggregate AR Results'!B18</f>
        <v>0</v>
      </c>
      <c r="C29" s="88"/>
      <c r="D29" s="88"/>
      <c r="E29" s="87"/>
      <c r="F29" s="122">
        <f>B29*Inputs!$C$8</f>
        <v>0</v>
      </c>
      <c r="G29" s="122">
        <f>F29*'GBFF Pot'!$B$5</f>
        <v>0</v>
      </c>
      <c r="H29" s="214">
        <f>G29</f>
        <v>0</v>
      </c>
    </row>
    <row r="30" spans="1:8" x14ac:dyDescent="0.2">
      <c r="A30" s="1" t="s">
        <v>236</v>
      </c>
      <c r="B30" s="218">
        <f>B29/B34</f>
        <v>0</v>
      </c>
      <c r="C30" s="88"/>
      <c r="D30" s="88"/>
      <c r="E30" s="87"/>
      <c r="F30" s="122"/>
      <c r="G30" s="122"/>
      <c r="H30" s="216">
        <f>B30</f>
        <v>0</v>
      </c>
    </row>
    <row r="31" spans="1:8" x14ac:dyDescent="0.2">
      <c r="A31" s="1" t="s">
        <v>237</v>
      </c>
      <c r="B31" s="87">
        <f>'Aggregate AR Results'!B19</f>
        <v>28817966</v>
      </c>
      <c r="C31" s="88"/>
      <c r="D31" s="88"/>
      <c r="E31" s="87"/>
      <c r="F31" s="122">
        <f>B31*Inputs!$C$8</f>
        <v>22535649.412</v>
      </c>
      <c r="G31" s="122">
        <f>F31*'GBFF Pot'!$B$5</f>
        <v>4254976.1604892295</v>
      </c>
      <c r="H31" s="214">
        <f>G31</f>
        <v>4254976.1604892295</v>
      </c>
    </row>
    <row r="32" spans="1:8" x14ac:dyDescent="0.2">
      <c r="A32" t="s">
        <v>238</v>
      </c>
      <c r="B32" s="218">
        <f>B31/B34</f>
        <v>0.4355243639127272</v>
      </c>
      <c r="H32" s="216">
        <f>B32</f>
        <v>0.4355243639127272</v>
      </c>
    </row>
    <row r="33" spans="1:8" x14ac:dyDescent="0.2">
      <c r="B33" s="218"/>
      <c r="H33" s="216"/>
    </row>
    <row r="34" spans="1:8" x14ac:dyDescent="0.2">
      <c r="A34" t="s">
        <v>199</v>
      </c>
      <c r="B34" s="232">
        <f>'Aggregate ICF Results'!B19</f>
        <v>66168436</v>
      </c>
      <c r="H34" s="231">
        <f>B34</f>
        <v>66168436</v>
      </c>
    </row>
    <row r="35" spans="1:8" ht="15" x14ac:dyDescent="0.25">
      <c r="B35" s="185"/>
    </row>
    <row r="36" spans="1:8" ht="177" customHeight="1" x14ac:dyDescent="0.2">
      <c r="A36" s="337" t="s">
        <v>239</v>
      </c>
      <c r="B36" s="328"/>
      <c r="C36" s="328"/>
      <c r="D36" s="328"/>
      <c r="E36" s="328"/>
      <c r="F36" s="328"/>
    </row>
    <row r="37" spans="1:8" x14ac:dyDescent="0.2">
      <c r="A37" s="65"/>
      <c r="B37" s="84"/>
      <c r="C37" s="84"/>
      <c r="D37" s="84"/>
      <c r="E37" s="84"/>
      <c r="F37" s="84"/>
      <c r="G37" s="122"/>
      <c r="H37" s="134"/>
    </row>
  </sheetData>
  <mergeCells count="1">
    <mergeCell ref="A36:F36"/>
  </mergeCells>
  <dataValidations count="1">
    <dataValidation type="custom" allowBlank="1" showDropDown="1" showInputMessage="1" showErrorMessage="1" sqref="B1" xr:uid="{6171F55E-3058-465E-B24D-101F992EB03C}">
      <formula1>2025</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5072-5C22-4E91-B2CB-F932112128EF}">
  <sheetPr>
    <tabColor rgb="FFFFC000"/>
  </sheetPr>
  <dimension ref="A1:J37"/>
  <sheetViews>
    <sheetView topLeftCell="A2" workbookViewId="0">
      <selection activeCell="F6" sqref="F6"/>
    </sheetView>
  </sheetViews>
  <sheetFormatPr defaultRowHeight="12.75" x14ac:dyDescent="0.2"/>
  <cols>
    <col min="1" max="1" width="76.28515625" customWidth="1"/>
    <col min="2" max="2" width="17.7109375" customWidth="1"/>
    <col min="3" max="8" width="16.42578125" customWidth="1"/>
    <col min="11" max="11" width="15.28515625" customWidth="1"/>
  </cols>
  <sheetData>
    <row r="1" spans="1:10" ht="18" x14ac:dyDescent="0.25">
      <c r="A1" s="230" t="s">
        <v>240</v>
      </c>
      <c r="B1" s="186"/>
      <c r="C1" s="128"/>
      <c r="H1" s="133"/>
    </row>
    <row r="2" spans="1:10" ht="63.75" x14ac:dyDescent="0.2">
      <c r="A2" s="70" t="s">
        <v>148</v>
      </c>
      <c r="B2" s="70" t="s">
        <v>219</v>
      </c>
      <c r="C2" s="70" t="s">
        <v>150</v>
      </c>
      <c r="D2" s="70" t="s">
        <v>220</v>
      </c>
      <c r="E2" s="70" t="s">
        <v>221</v>
      </c>
      <c r="F2" s="70" t="s">
        <v>222</v>
      </c>
      <c r="G2" s="70" t="s">
        <v>223</v>
      </c>
      <c r="H2" s="213" t="s">
        <v>241</v>
      </c>
    </row>
    <row r="3" spans="1:10" ht="25.5" x14ac:dyDescent="0.2">
      <c r="A3" s="1" t="s">
        <v>155</v>
      </c>
      <c r="B3" s="84">
        <f>'Aggregate ICF Results'!C6</f>
        <v>82859</v>
      </c>
      <c r="C3" s="84">
        <f>B3*Inputs!$C$3</f>
        <v>66287.199999999997</v>
      </c>
      <c r="D3" s="88"/>
      <c r="E3" s="88"/>
      <c r="F3" s="88"/>
      <c r="G3" s="84">
        <f>C3*'GBFF Pot'!$B$5</f>
        <v>12515.74563435446</v>
      </c>
      <c r="H3" s="134">
        <f>G3</f>
        <v>12515.74563435446</v>
      </c>
    </row>
    <row r="4" spans="1:10" x14ac:dyDescent="0.2">
      <c r="A4" s="1" t="s">
        <v>208</v>
      </c>
      <c r="B4" s="84">
        <f>'Aggregate ICF Results'!C7</f>
        <v>41310</v>
      </c>
      <c r="C4" s="84">
        <f>B4*Inputs!$C$3</f>
        <v>33048</v>
      </c>
      <c r="D4" s="88"/>
      <c r="E4" s="88"/>
      <c r="F4" s="88"/>
      <c r="G4" s="84">
        <f>C4*'GBFF Pot'!$B$5</f>
        <v>6239.8224955066171</v>
      </c>
      <c r="H4" s="134">
        <f t="shared" ref="H4:H13" si="0">G4</f>
        <v>6239.8224955066171</v>
      </c>
    </row>
    <row r="5" spans="1:10" x14ac:dyDescent="0.2">
      <c r="A5" s="1" t="s">
        <v>209</v>
      </c>
      <c r="B5" s="84">
        <f>'Aggregate ICF Results'!C8</f>
        <v>48186159.399999999</v>
      </c>
      <c r="C5" s="84">
        <f>B5*Inputs!$C$3</f>
        <v>38548927.520000003</v>
      </c>
      <c r="D5" s="84"/>
      <c r="E5" s="84"/>
      <c r="F5" s="84"/>
      <c r="G5" s="84">
        <f>C5*'GBFF Pot'!$B$5</f>
        <v>7278457.5501376819</v>
      </c>
      <c r="H5" s="134">
        <f t="shared" si="0"/>
        <v>7278457.5501376819</v>
      </c>
      <c r="J5" s="181"/>
    </row>
    <row r="6" spans="1:10" ht="25.5" x14ac:dyDescent="0.2">
      <c r="A6" s="1" t="s">
        <v>157</v>
      </c>
      <c r="B6" s="237">
        <f>'Aggregate ICF Results'!C9</f>
        <v>59825123</v>
      </c>
      <c r="C6" s="87"/>
      <c r="D6" s="87"/>
      <c r="E6" s="87">
        <f>B6*Inputs!$C$5</f>
        <v>29912561.5</v>
      </c>
      <c r="F6" s="122">
        <f>E6*Inputs!$C$9</f>
        <v>22254945.756000001</v>
      </c>
      <c r="G6" s="122">
        <f>F6*'GBFF Pot'!$B$5</f>
        <v>4201976.2516511837</v>
      </c>
      <c r="H6" s="214">
        <f t="shared" si="0"/>
        <v>4201976.2516511837</v>
      </c>
      <c r="J6" s="181"/>
    </row>
    <row r="7" spans="1:10" ht="25.5" x14ac:dyDescent="0.2">
      <c r="A7" s="1" t="s">
        <v>158</v>
      </c>
      <c r="B7" s="237">
        <f>'Aggregate ICF Results'!C10</f>
        <v>20804105</v>
      </c>
      <c r="C7" s="87"/>
      <c r="D7" s="87"/>
      <c r="E7" s="87">
        <f>B7*Inputs!$C$5</f>
        <v>10402052.5</v>
      </c>
      <c r="F7" s="122">
        <f>E7*Inputs!$C$9</f>
        <v>7739127.0599999996</v>
      </c>
      <c r="G7" s="122">
        <f>F7*'GBFF Pot'!$B$5</f>
        <v>1461231.5155099246</v>
      </c>
      <c r="H7" s="214">
        <f t="shared" si="0"/>
        <v>1461231.5155099246</v>
      </c>
      <c r="J7" s="87"/>
    </row>
    <row r="8" spans="1:10" ht="25.5" x14ac:dyDescent="0.2">
      <c r="A8" s="1" t="s">
        <v>210</v>
      </c>
      <c r="B8" s="84">
        <f>'Aggregate ICF Results'!C11</f>
        <v>13134777.129999999</v>
      </c>
      <c r="C8" s="84">
        <f>B8*Inputs!$C$3</f>
        <v>10507821.704</v>
      </c>
      <c r="D8" s="84">
        <f>C8*Inputs!C$4</f>
        <v>9982430.6187999994</v>
      </c>
      <c r="E8" s="84"/>
      <c r="F8" s="122"/>
      <c r="G8" s="84">
        <f>D8*'GBFF Pot'!$B$5</f>
        <v>1884791.6707523081</v>
      </c>
      <c r="H8" s="134">
        <f t="shared" si="0"/>
        <v>1884791.6707523081</v>
      </c>
    </row>
    <row r="9" spans="1:10" x14ac:dyDescent="0.2">
      <c r="A9" s="217" t="s">
        <v>211</v>
      </c>
      <c r="B9" s="84">
        <f>'Aggregate ICF Results'!C12</f>
        <v>3645384.56</v>
      </c>
      <c r="C9" s="84">
        <f>B9*Inputs!$C$3</f>
        <v>2916307.648</v>
      </c>
      <c r="D9" s="84">
        <f>C9*Inputs!C$4</f>
        <v>2770492.2656</v>
      </c>
      <c r="E9" s="84"/>
      <c r="F9" s="122"/>
      <c r="G9" s="84">
        <f>D9*'GBFF Pot'!$B$5</f>
        <v>523099.12740613573</v>
      </c>
      <c r="H9" s="134">
        <f t="shared" si="0"/>
        <v>523099.12740613573</v>
      </c>
    </row>
    <row r="10" spans="1:10" x14ac:dyDescent="0.2">
      <c r="A10" s="217" t="s">
        <v>212</v>
      </c>
      <c r="B10" s="84">
        <f>'Aggregate ICF Results'!C13</f>
        <v>8117490.3599999994</v>
      </c>
      <c r="C10" s="84">
        <f>B10*Inputs!$C$3</f>
        <v>6493992.2879999997</v>
      </c>
      <c r="D10" s="84">
        <f>C10*Inputs!C$4</f>
        <v>6169292.6735999994</v>
      </c>
      <c r="E10" s="84"/>
      <c r="F10" s="122"/>
      <c r="G10" s="84">
        <f>D10*'GBFF Pot'!$B$5</f>
        <v>1164829.6782284386</v>
      </c>
      <c r="H10" s="134">
        <f t="shared" si="0"/>
        <v>1164829.6782284386</v>
      </c>
    </row>
    <row r="11" spans="1:10" x14ac:dyDescent="0.2">
      <c r="A11" s="217" t="s">
        <v>213</v>
      </c>
      <c r="B11" s="84">
        <f>'Aggregate ICF Results'!C14</f>
        <v>63973.04</v>
      </c>
      <c r="C11" s="84">
        <f>B11*Inputs!$C$3</f>
        <v>51178.432000000001</v>
      </c>
      <c r="D11" s="84">
        <f>C11*Inputs!C$4</f>
        <v>48619.510399999999</v>
      </c>
      <c r="E11" s="84"/>
      <c r="F11" s="122"/>
      <c r="G11" s="84">
        <f>D11*'GBFF Pot'!$B$5</f>
        <v>9179.8933283235874</v>
      </c>
      <c r="H11" s="134">
        <f t="shared" si="0"/>
        <v>9179.8933283235874</v>
      </c>
    </row>
    <row r="12" spans="1:10" ht="16.5" customHeight="1" x14ac:dyDescent="0.2">
      <c r="A12" s="219" t="s">
        <v>214</v>
      </c>
      <c r="B12" s="84">
        <f>'Aggregate ICF Results'!C15</f>
        <v>726319.17</v>
      </c>
      <c r="C12" s="84">
        <f>B12*Inputs!$C$3</f>
        <v>581055.33600000001</v>
      </c>
      <c r="D12" s="84">
        <f>C12*Inputs!C$4</f>
        <v>552002.56920000003</v>
      </c>
      <c r="E12" s="84"/>
      <c r="F12" s="122"/>
      <c r="G12" s="84">
        <f>D12*'GBFF Pot'!$B$5</f>
        <v>104224.09976009466</v>
      </c>
      <c r="H12" s="134">
        <f t="shared" si="0"/>
        <v>104224.09976009466</v>
      </c>
    </row>
    <row r="13" spans="1:10" x14ac:dyDescent="0.2">
      <c r="A13" s="217" t="s">
        <v>215</v>
      </c>
      <c r="B13" s="84">
        <f>'Aggregate ICF Results'!C16</f>
        <v>581610</v>
      </c>
      <c r="C13" s="84">
        <f>B13*Inputs!$C$3</f>
        <v>465288</v>
      </c>
      <c r="D13" s="84">
        <f>C13*Inputs!C$4</f>
        <v>442023.6</v>
      </c>
      <c r="E13" s="84"/>
      <c r="F13" s="122"/>
      <c r="G13" s="84">
        <f>D13*'GBFF Pot'!$B$5</f>
        <v>83458.872029315491</v>
      </c>
      <c r="H13" s="134">
        <f t="shared" si="0"/>
        <v>83458.872029315491</v>
      </c>
    </row>
    <row r="14" spans="1:10" x14ac:dyDescent="0.2">
      <c r="A14" s="1"/>
      <c r="C14" s="88"/>
      <c r="D14" s="84"/>
      <c r="E14" s="88"/>
      <c r="F14" s="122"/>
      <c r="G14" s="84"/>
      <c r="H14" s="84"/>
    </row>
    <row r="15" spans="1:10" ht="15" x14ac:dyDescent="0.25">
      <c r="A15" s="115" t="s">
        <v>160</v>
      </c>
      <c r="B15" s="223"/>
      <c r="C15" s="88"/>
      <c r="D15" s="84"/>
      <c r="E15" s="187"/>
      <c r="F15" s="122"/>
      <c r="G15" s="84"/>
      <c r="H15" s="115"/>
    </row>
    <row r="16" spans="1:10" x14ac:dyDescent="0.2">
      <c r="A16" s="1" t="s">
        <v>185</v>
      </c>
      <c r="B16" s="84">
        <f>'Aggregate AR Results'!C6</f>
        <v>3645384.56</v>
      </c>
      <c r="C16" s="84">
        <f>B16*Inputs!$C$3</f>
        <v>2916307.648</v>
      </c>
      <c r="D16" s="84"/>
      <c r="E16" s="88"/>
      <c r="F16" s="122"/>
      <c r="G16" s="84">
        <f>C16*'GBFF Pot'!$B$5</f>
        <v>550630.66042751132</v>
      </c>
      <c r="H16" s="134">
        <f t="shared" ref="H16:H25" si="1">G16</f>
        <v>550630.66042751132</v>
      </c>
    </row>
    <row r="17" spans="1:8" x14ac:dyDescent="0.2">
      <c r="A17" s="1" t="s">
        <v>186</v>
      </c>
      <c r="B17" s="84">
        <f>'Aggregate AR Results'!C7</f>
        <v>8117490.3599999994</v>
      </c>
      <c r="C17" s="84">
        <f>B17*Inputs!$C$3</f>
        <v>6493992.2879999997</v>
      </c>
      <c r="D17" s="84"/>
      <c r="E17" s="88"/>
      <c r="F17" s="122"/>
      <c r="G17" s="84">
        <f>C17*'GBFF Pot'!$B$5</f>
        <v>1226136.5033983565</v>
      </c>
      <c r="H17" s="134">
        <f t="shared" si="1"/>
        <v>1226136.5033983565</v>
      </c>
    </row>
    <row r="18" spans="1:8" x14ac:dyDescent="0.2">
      <c r="A18" s="1" t="s">
        <v>67</v>
      </c>
      <c r="B18" s="84">
        <f>'Aggregate AR Results'!C8</f>
        <v>63973.04</v>
      </c>
      <c r="C18" s="84">
        <f>B18*Inputs!$C$3</f>
        <v>51178.432000000001</v>
      </c>
      <c r="D18" s="84"/>
      <c r="E18" s="88"/>
      <c r="F18" s="122"/>
      <c r="G18" s="84">
        <f>C18*'GBFF Pot'!$B$5</f>
        <v>9663.0456087616712</v>
      </c>
      <c r="H18" s="134">
        <f t="shared" si="1"/>
        <v>9663.0456087616712</v>
      </c>
    </row>
    <row r="19" spans="1:8" x14ac:dyDescent="0.2">
      <c r="A19" s="1" t="s">
        <v>72</v>
      </c>
      <c r="B19" s="84">
        <f>'Aggregate AR Results'!C9</f>
        <v>726319.17</v>
      </c>
      <c r="C19" s="84">
        <f>B19*Inputs!$C$3</f>
        <v>581055.33600000001</v>
      </c>
      <c r="D19" s="84"/>
      <c r="E19" s="88"/>
      <c r="F19" s="122"/>
      <c r="G19" s="84">
        <f>C19*'GBFF Pot'!$B$5</f>
        <v>109709.57869483648</v>
      </c>
      <c r="H19" s="134">
        <f t="shared" si="1"/>
        <v>109709.57869483648</v>
      </c>
    </row>
    <row r="20" spans="1:8" x14ac:dyDescent="0.2">
      <c r="A20" s="1" t="s">
        <v>77</v>
      </c>
      <c r="B20" s="84">
        <f>'Aggregate AR Results'!C10</f>
        <v>581610</v>
      </c>
      <c r="C20" s="84">
        <f>B20*Inputs!$C$3</f>
        <v>465288</v>
      </c>
      <c r="D20" s="84"/>
      <c r="E20" s="88"/>
      <c r="F20" s="122"/>
      <c r="G20" s="84">
        <f>C20*'GBFF Pot'!$B$5</f>
        <v>87851.444241384743</v>
      </c>
      <c r="H20" s="134">
        <f t="shared" si="1"/>
        <v>87851.444241384743</v>
      </c>
    </row>
    <row r="21" spans="1:8" x14ac:dyDescent="0.2">
      <c r="A21" t="s">
        <v>227</v>
      </c>
      <c r="B21" s="84">
        <f>'Aggregate AR Results'!C12</f>
        <v>134396</v>
      </c>
      <c r="C21" s="84">
        <f>B21*Inputs!$C$3</f>
        <v>107516.8</v>
      </c>
      <c r="D21" s="88"/>
      <c r="E21" s="88"/>
      <c r="F21" s="122"/>
      <c r="G21" s="84">
        <f>C21*'GBFF Pot'!$B$5</f>
        <v>20300.343357688387</v>
      </c>
      <c r="H21" s="134">
        <f t="shared" si="1"/>
        <v>20300.343357688387</v>
      </c>
    </row>
    <row r="22" spans="1:8" x14ac:dyDescent="0.2">
      <c r="A22" s="1" t="s">
        <v>228</v>
      </c>
      <c r="B22" s="84">
        <f>'Aggregate AR Results'!C13</f>
        <v>67452</v>
      </c>
      <c r="C22" s="84">
        <f>B22*Inputs!$C$3</f>
        <v>53961.600000000006</v>
      </c>
      <c r="D22" s="88"/>
      <c r="E22" s="88"/>
      <c r="F22" s="122"/>
      <c r="G22" s="84">
        <f>C22*'GBFF Pot'!$B$5</f>
        <v>10188.538052939055</v>
      </c>
      <c r="H22" s="134">
        <f t="shared" si="1"/>
        <v>10188.538052939055</v>
      </c>
    </row>
    <row r="23" spans="1:8" x14ac:dyDescent="0.2">
      <c r="A23" s="1" t="s">
        <v>229</v>
      </c>
      <c r="B23" s="87">
        <f>'Aggregate AR Results'!C14</f>
        <v>142926039</v>
      </c>
      <c r="C23" s="88"/>
      <c r="D23" s="88"/>
      <c r="E23" s="87"/>
      <c r="F23" s="122">
        <f>B23*Inputs!$C$9</f>
        <v>106336973.016</v>
      </c>
      <c r="G23" s="122">
        <f>F23*'GBFF Pot'!$B$5</f>
        <v>20077579.167553768</v>
      </c>
      <c r="H23" s="214">
        <f t="shared" si="1"/>
        <v>20077579.167553768</v>
      </c>
    </row>
    <row r="24" spans="1:8" x14ac:dyDescent="0.2">
      <c r="A24" s="1" t="s">
        <v>230</v>
      </c>
      <c r="B24" s="87">
        <f>'Aggregate AR Results'!C15</f>
        <v>117859450</v>
      </c>
      <c r="C24" s="88"/>
      <c r="D24" s="88"/>
      <c r="E24" s="87"/>
      <c r="F24" s="122">
        <f>B24*Inputs!$C$9</f>
        <v>87687430.799999997</v>
      </c>
      <c r="G24" s="122">
        <f>F24*'GBFF Pot'!$B$5</f>
        <v>16556342.389222337</v>
      </c>
      <c r="H24" s="214">
        <f t="shared" si="1"/>
        <v>16556342.389222337</v>
      </c>
    </row>
    <row r="25" spans="1:8" x14ac:dyDescent="0.2">
      <c r="A25" s="1" t="s">
        <v>231</v>
      </c>
      <c r="B25" s="87">
        <f>'Aggregate AR Results'!C16</f>
        <v>25066589</v>
      </c>
      <c r="C25" s="88"/>
      <c r="D25" s="88"/>
      <c r="E25" s="87"/>
      <c r="F25" s="122">
        <f>B25*Inputs!$C$9</f>
        <v>18649542.215999998</v>
      </c>
      <c r="G25" s="122">
        <f>F25*'GBFF Pot'!$B$5</f>
        <v>3521236.7783314306</v>
      </c>
      <c r="H25" s="214">
        <f t="shared" si="1"/>
        <v>3521236.7783314306</v>
      </c>
    </row>
    <row r="26" spans="1:8" x14ac:dyDescent="0.2">
      <c r="A26" s="1" t="s">
        <v>232</v>
      </c>
      <c r="B26" s="86">
        <f>B23/B34</f>
        <v>2.0266496428861553</v>
      </c>
      <c r="C26" s="88"/>
      <c r="D26" s="88"/>
      <c r="E26" s="87"/>
      <c r="F26" s="122"/>
      <c r="G26" s="122"/>
      <c r="H26" s="215">
        <f>B26</f>
        <v>2.0266496428861553</v>
      </c>
    </row>
    <row r="27" spans="1:8" x14ac:dyDescent="0.2">
      <c r="A27" s="1" t="s">
        <v>233</v>
      </c>
      <c r="B27" s="87">
        <f>'Aggregate AR Results'!C17</f>
        <v>26942845</v>
      </c>
      <c r="C27" s="88"/>
      <c r="D27" s="88"/>
      <c r="E27" s="87"/>
      <c r="F27" s="122">
        <f>B27*Inputs!$C$9</f>
        <v>20045476.68</v>
      </c>
      <c r="G27" s="122">
        <f>F27*'GBFF Pot'!$B$5</f>
        <v>3784804.4154265705</v>
      </c>
      <c r="H27" s="214">
        <f>G27</f>
        <v>3784804.4154265705</v>
      </c>
    </row>
    <row r="28" spans="1:8" x14ac:dyDescent="0.2">
      <c r="A28" s="1" t="s">
        <v>234</v>
      </c>
      <c r="B28" s="218">
        <f>B27/B34</f>
        <v>0.38204170198536769</v>
      </c>
      <c r="C28" s="88"/>
      <c r="D28" s="88"/>
      <c r="E28" s="87"/>
      <c r="F28" s="122"/>
      <c r="G28" s="122"/>
      <c r="H28" s="216">
        <f>B28</f>
        <v>0.38204170198536769</v>
      </c>
    </row>
    <row r="29" spans="1:8" x14ac:dyDescent="0.2">
      <c r="A29" s="1" t="s">
        <v>235</v>
      </c>
      <c r="B29" s="87">
        <f>'Aggregate AR Results'!C18</f>
        <v>17090403</v>
      </c>
      <c r="C29" s="88"/>
      <c r="D29" s="88"/>
      <c r="E29" s="87"/>
      <c r="F29" s="122">
        <f>B29*Inputs!$C$9</f>
        <v>12715259.832</v>
      </c>
      <c r="G29" s="122">
        <f>F29*'GBFF Pot'!$B$5</f>
        <v>2400779.6034835782</v>
      </c>
      <c r="H29" s="214">
        <f>G29</f>
        <v>2400779.6034835782</v>
      </c>
    </row>
    <row r="30" spans="1:8" x14ac:dyDescent="0.2">
      <c r="A30" s="1" t="s">
        <v>236</v>
      </c>
      <c r="B30" s="218">
        <f>B29/B34</f>
        <v>0.24233694139337678</v>
      </c>
      <c r="C30" s="88"/>
      <c r="D30" s="88"/>
      <c r="E30" s="87"/>
      <c r="F30" s="122"/>
      <c r="G30" s="122"/>
      <c r="H30" s="216">
        <f>B30</f>
        <v>0.24233694139337678</v>
      </c>
    </row>
    <row r="31" spans="1:8" x14ac:dyDescent="0.2">
      <c r="A31" s="1" t="s">
        <v>237</v>
      </c>
      <c r="B31" s="87">
        <f>'Aggregate AR Results'!C19</f>
        <v>15854753.449999999</v>
      </c>
      <c r="C31" s="88"/>
      <c r="D31" s="88"/>
      <c r="E31" s="87"/>
      <c r="F31" s="122">
        <f>B31*Inputs!$C$9</f>
        <v>11795936.5668</v>
      </c>
      <c r="G31" s="122">
        <f>F31*'GBFF Pot'!$B$5</f>
        <v>2227201.3539423789</v>
      </c>
      <c r="H31" s="214">
        <f>G31</f>
        <v>2227201.3539423789</v>
      </c>
    </row>
    <row r="32" spans="1:8" x14ac:dyDescent="0.2">
      <c r="A32" t="s">
        <v>238</v>
      </c>
      <c r="B32" s="218">
        <f>B31/B34</f>
        <v>0.2248157903367807</v>
      </c>
      <c r="H32" s="216">
        <f>B32</f>
        <v>0.2248157903367807</v>
      </c>
    </row>
    <row r="33" spans="1:8" x14ac:dyDescent="0.2">
      <c r="B33" s="218"/>
      <c r="H33" s="66"/>
    </row>
    <row r="34" spans="1:8" x14ac:dyDescent="0.2">
      <c r="A34" t="s">
        <v>199</v>
      </c>
      <c r="B34" s="232">
        <f>'Aggregate ICF Results'!C19</f>
        <v>70523309</v>
      </c>
      <c r="H34" s="231">
        <f>B34</f>
        <v>70523309</v>
      </c>
    </row>
    <row r="35" spans="1:8" ht="15" x14ac:dyDescent="0.25">
      <c r="B35" s="185"/>
    </row>
    <row r="36" spans="1:8" ht="168" customHeight="1" x14ac:dyDescent="0.2">
      <c r="A36" s="337" t="s">
        <v>242</v>
      </c>
      <c r="B36" s="328"/>
      <c r="C36" s="328"/>
      <c r="D36" s="328"/>
      <c r="E36" s="328"/>
      <c r="F36" s="328"/>
    </row>
    <row r="37" spans="1:8" x14ac:dyDescent="0.2">
      <c r="A37" s="65"/>
      <c r="B37" s="84"/>
      <c r="C37" s="84"/>
      <c r="D37" s="84"/>
      <c r="E37" s="84"/>
      <c r="F37" s="84"/>
      <c r="G37" s="122"/>
      <c r="H37" s="84"/>
    </row>
  </sheetData>
  <mergeCells count="1">
    <mergeCell ref="A36:F36"/>
  </mergeCells>
  <dataValidations count="1">
    <dataValidation type="custom" allowBlank="1" showDropDown="1" showInputMessage="1" showErrorMessage="1" sqref="B1" xr:uid="{13295540-82DE-4B4B-A3E0-D5717042BF64}">
      <formula1>2025</formula1>
    </dataValidation>
  </dataValidation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3E32-D210-4DB4-9752-EE5FF1D3851A}">
  <sheetPr>
    <tabColor rgb="FFFFC000"/>
  </sheetPr>
  <dimension ref="A1:J36"/>
  <sheetViews>
    <sheetView workbookViewId="0">
      <selection activeCell="E2" sqref="E2"/>
    </sheetView>
  </sheetViews>
  <sheetFormatPr defaultRowHeight="12.75" x14ac:dyDescent="0.2"/>
  <cols>
    <col min="1" max="1" width="76.28515625" customWidth="1"/>
    <col min="2" max="2" width="17.7109375" customWidth="1"/>
    <col min="3" max="7" width="16.42578125" customWidth="1"/>
    <col min="8" max="8" width="16.42578125" style="133" customWidth="1"/>
    <col min="11" max="11" width="15.28515625" customWidth="1"/>
  </cols>
  <sheetData>
    <row r="1" spans="1:10" ht="18" x14ac:dyDescent="0.25">
      <c r="A1" s="230" t="s">
        <v>243</v>
      </c>
      <c r="B1" s="186"/>
      <c r="C1" s="128"/>
    </row>
    <row r="2" spans="1:10" ht="63.75" x14ac:dyDescent="0.2">
      <c r="A2" s="70" t="s">
        <v>148</v>
      </c>
      <c r="B2" s="70" t="s">
        <v>219</v>
      </c>
      <c r="C2" s="70" t="s">
        <v>150</v>
      </c>
      <c r="D2" s="70" t="s">
        <v>220</v>
      </c>
      <c r="E2" s="70" t="s">
        <v>221</v>
      </c>
      <c r="F2" s="70" t="s">
        <v>222</v>
      </c>
      <c r="G2" s="70" t="s">
        <v>223</v>
      </c>
      <c r="H2" s="213" t="s">
        <v>244</v>
      </c>
    </row>
    <row r="3" spans="1:10" ht="25.5" x14ac:dyDescent="0.2">
      <c r="A3" s="1" t="s">
        <v>155</v>
      </c>
      <c r="B3" s="84">
        <f>'Aggregate ICF Results'!D6</f>
        <v>0</v>
      </c>
      <c r="C3" s="84">
        <f>B3*Inputs!$C$3</f>
        <v>0</v>
      </c>
      <c r="D3" s="88"/>
      <c r="E3" s="88"/>
      <c r="F3" s="88"/>
      <c r="G3" s="84">
        <f>C3*'GBFF Pot'!$B$5</f>
        <v>0</v>
      </c>
      <c r="H3" s="134">
        <f>G3</f>
        <v>0</v>
      </c>
    </row>
    <row r="4" spans="1:10" x14ac:dyDescent="0.2">
      <c r="A4" s="1" t="s">
        <v>208</v>
      </c>
      <c r="B4" s="84">
        <f>'Aggregate ICF Results'!D7</f>
        <v>0</v>
      </c>
      <c r="C4" s="84">
        <f>B4*Inputs!$C$3</f>
        <v>0</v>
      </c>
      <c r="D4" s="88"/>
      <c r="E4" s="88"/>
      <c r="F4" s="88"/>
      <c r="G4" s="84">
        <f>C4*'GBFF Pot'!$B$5</f>
        <v>0</v>
      </c>
      <c r="H4" s="134">
        <f t="shared" ref="H4:H13" si="0">G4</f>
        <v>0</v>
      </c>
    </row>
    <row r="5" spans="1:10" x14ac:dyDescent="0.2">
      <c r="A5" s="1" t="s">
        <v>209</v>
      </c>
      <c r="B5" s="84">
        <f>'Aggregate ICF Results'!D8</f>
        <v>0</v>
      </c>
      <c r="C5" s="84">
        <f>B5*Inputs!$C$3</f>
        <v>0</v>
      </c>
      <c r="D5" s="84"/>
      <c r="E5" s="84"/>
      <c r="F5" s="84"/>
      <c r="G5" s="84">
        <f>C5*'GBFF Pot'!$B$5</f>
        <v>0</v>
      </c>
      <c r="H5" s="134">
        <f t="shared" si="0"/>
        <v>0</v>
      </c>
      <c r="J5" s="181"/>
    </row>
    <row r="6" spans="1:10" ht="25.5" x14ac:dyDescent="0.2">
      <c r="A6" s="1" t="s">
        <v>225</v>
      </c>
      <c r="B6" s="237">
        <f>'Aggregate ICF Results'!D9</f>
        <v>0</v>
      </c>
      <c r="C6" s="87"/>
      <c r="D6" s="87"/>
      <c r="E6" s="87">
        <f>B6*Inputs!$C$5</f>
        <v>0</v>
      </c>
      <c r="F6" s="122">
        <f>E6*Inputs!$C$10</f>
        <v>0</v>
      </c>
      <c r="G6" s="122">
        <f>F6*'GBFF Pot'!$B$5</f>
        <v>0</v>
      </c>
      <c r="H6" s="214">
        <f t="shared" si="0"/>
        <v>0</v>
      </c>
      <c r="J6" s="181"/>
    </row>
    <row r="7" spans="1:10" ht="25.5" x14ac:dyDescent="0.2">
      <c r="A7" s="1" t="s">
        <v>226</v>
      </c>
      <c r="B7" s="237">
        <f>'Aggregate ICF Results'!D10</f>
        <v>0</v>
      </c>
      <c r="C7" s="87"/>
      <c r="D7" s="87"/>
      <c r="E7" s="87">
        <f>B7*Inputs!$C$5</f>
        <v>0</v>
      </c>
      <c r="F7" s="122">
        <f>E7*Inputs!$C$10</f>
        <v>0</v>
      </c>
      <c r="G7" s="122">
        <f>F7*'GBFF Pot'!$B$5</f>
        <v>0</v>
      </c>
      <c r="H7" s="214">
        <f t="shared" si="0"/>
        <v>0</v>
      </c>
      <c r="J7" s="87"/>
    </row>
    <row r="8" spans="1:10" ht="25.5" x14ac:dyDescent="0.2">
      <c r="A8" s="1" t="s">
        <v>210</v>
      </c>
      <c r="B8" s="84">
        <f>'Aggregate ICF Results'!D11</f>
        <v>0</v>
      </c>
      <c r="C8" s="84">
        <f>B8*Inputs!$C$3</f>
        <v>0</v>
      </c>
      <c r="D8" s="84">
        <f>C8*Inputs!C$4</f>
        <v>0</v>
      </c>
      <c r="E8" s="84"/>
      <c r="F8" s="122"/>
      <c r="G8" s="84">
        <f>C8*'GBFF Pot'!$B$5</f>
        <v>0</v>
      </c>
      <c r="H8" s="134">
        <f t="shared" si="0"/>
        <v>0</v>
      </c>
    </row>
    <row r="9" spans="1:10" x14ac:dyDescent="0.2">
      <c r="A9" s="217" t="s">
        <v>211</v>
      </c>
      <c r="B9" s="84">
        <f>'Aggregate ICF Results'!D12</f>
        <v>0</v>
      </c>
      <c r="C9" s="84">
        <f>B9*Inputs!$C$3</f>
        <v>0</v>
      </c>
      <c r="D9" s="84">
        <f>C9*Inputs!C$4</f>
        <v>0</v>
      </c>
      <c r="E9" s="84"/>
      <c r="F9" s="122"/>
      <c r="G9" s="84">
        <f>C9*'GBFF Pot'!$B$5</f>
        <v>0</v>
      </c>
      <c r="H9" s="134">
        <f t="shared" si="0"/>
        <v>0</v>
      </c>
    </row>
    <row r="10" spans="1:10" x14ac:dyDescent="0.2">
      <c r="A10" s="217" t="s">
        <v>212</v>
      </c>
      <c r="B10" s="84">
        <f>'Aggregate ICF Results'!D13</f>
        <v>0</v>
      </c>
      <c r="C10" s="84">
        <f>B10*Inputs!$C$3</f>
        <v>0</v>
      </c>
      <c r="D10" s="84">
        <f>C10*Inputs!C$4</f>
        <v>0</v>
      </c>
      <c r="E10" s="84"/>
      <c r="F10" s="122"/>
      <c r="G10" s="84">
        <f>C10*'GBFF Pot'!$B$5</f>
        <v>0</v>
      </c>
      <c r="H10" s="134">
        <f t="shared" si="0"/>
        <v>0</v>
      </c>
    </row>
    <row r="11" spans="1:10" x14ac:dyDescent="0.2">
      <c r="A11" s="217" t="s">
        <v>213</v>
      </c>
      <c r="B11" s="84">
        <f>'Aggregate ICF Results'!D14</f>
        <v>0</v>
      </c>
      <c r="C11" s="84">
        <f>B11*Inputs!$C$3</f>
        <v>0</v>
      </c>
      <c r="D11" s="84">
        <f>C11*Inputs!C$4</f>
        <v>0</v>
      </c>
      <c r="E11" s="84"/>
      <c r="F11" s="122"/>
      <c r="G11" s="84">
        <f>C11*'GBFF Pot'!$B$5</f>
        <v>0</v>
      </c>
      <c r="H11" s="134">
        <f t="shared" si="0"/>
        <v>0</v>
      </c>
    </row>
    <row r="12" spans="1:10" ht="16.5" customHeight="1" x14ac:dyDescent="0.2">
      <c r="A12" s="219" t="s">
        <v>214</v>
      </c>
      <c r="B12" s="84">
        <f>'Aggregate ICF Results'!D15</f>
        <v>0</v>
      </c>
      <c r="C12" s="84">
        <f>B12*Inputs!$C$3</f>
        <v>0</v>
      </c>
      <c r="D12" s="84">
        <f>C12*Inputs!C$4</f>
        <v>0</v>
      </c>
      <c r="E12" s="84"/>
      <c r="F12" s="122"/>
      <c r="G12" s="84">
        <f>C12*'GBFF Pot'!$B$5</f>
        <v>0</v>
      </c>
      <c r="H12" s="134">
        <f t="shared" si="0"/>
        <v>0</v>
      </c>
    </row>
    <row r="13" spans="1:10" x14ac:dyDescent="0.2">
      <c r="A13" s="217" t="s">
        <v>215</v>
      </c>
      <c r="B13" s="84">
        <f>'Aggregate ICF Results'!D16</f>
        <v>0</v>
      </c>
      <c r="C13" s="84">
        <f>B13*Inputs!$C$3</f>
        <v>0</v>
      </c>
      <c r="D13" s="84">
        <f>C13*Inputs!C$4</f>
        <v>0</v>
      </c>
      <c r="E13" s="84"/>
      <c r="F13" s="122"/>
      <c r="G13" s="84">
        <f>C13*'GBFF Pot'!$B$5</f>
        <v>0</v>
      </c>
      <c r="H13" s="134">
        <f t="shared" si="0"/>
        <v>0</v>
      </c>
    </row>
    <row r="14" spans="1:10" x14ac:dyDescent="0.2">
      <c r="A14" s="1"/>
      <c r="C14" s="88"/>
      <c r="D14" s="84"/>
      <c r="E14" s="88"/>
      <c r="F14" s="122"/>
      <c r="G14" s="84"/>
      <c r="H14" s="134"/>
    </row>
    <row r="15" spans="1:10" ht="15" x14ac:dyDescent="0.25">
      <c r="A15" s="115" t="s">
        <v>160</v>
      </c>
      <c r="B15" s="223"/>
      <c r="C15" s="88"/>
      <c r="D15" s="84"/>
      <c r="E15" s="187"/>
      <c r="F15" s="122"/>
      <c r="G15" s="84"/>
      <c r="H15" s="213"/>
    </row>
    <row r="16" spans="1:10" x14ac:dyDescent="0.2">
      <c r="A16" s="1" t="s">
        <v>185</v>
      </c>
      <c r="B16" s="84">
        <f>'Aggregate AR Results'!D6</f>
        <v>0</v>
      </c>
      <c r="C16" s="84">
        <f>B16*Inputs!$C$3</f>
        <v>0</v>
      </c>
      <c r="D16" s="84">
        <f>C16*Inputs!C$4</f>
        <v>0</v>
      </c>
      <c r="E16" s="88"/>
      <c r="F16" s="122"/>
      <c r="G16" s="84">
        <f>C16*'GBFF Pot'!$B$5</f>
        <v>0</v>
      </c>
      <c r="H16" s="134">
        <f t="shared" ref="H16:H25" si="1">G16</f>
        <v>0</v>
      </c>
    </row>
    <row r="17" spans="1:8" x14ac:dyDescent="0.2">
      <c r="A17" s="1" t="s">
        <v>186</v>
      </c>
      <c r="B17" s="84">
        <f>'Aggregate AR Results'!D7</f>
        <v>0</v>
      </c>
      <c r="C17" s="84">
        <f>B17*Inputs!$C$3</f>
        <v>0</v>
      </c>
      <c r="D17" s="84">
        <f>C17*Inputs!C$4</f>
        <v>0</v>
      </c>
      <c r="E17" s="88"/>
      <c r="F17" s="122"/>
      <c r="G17" s="84">
        <f>C17*'GBFF Pot'!$B$5</f>
        <v>0</v>
      </c>
      <c r="H17" s="134">
        <f t="shared" si="1"/>
        <v>0</v>
      </c>
    </row>
    <row r="18" spans="1:8" x14ac:dyDescent="0.2">
      <c r="A18" s="1" t="s">
        <v>67</v>
      </c>
      <c r="B18" s="84">
        <f>'Aggregate AR Results'!D8</f>
        <v>0</v>
      </c>
      <c r="C18" s="84">
        <f>B18*Inputs!$C$3</f>
        <v>0</v>
      </c>
      <c r="D18" s="84">
        <f>C18*Inputs!C$4</f>
        <v>0</v>
      </c>
      <c r="E18" s="88"/>
      <c r="F18" s="122"/>
      <c r="G18" s="84">
        <f>C18*'GBFF Pot'!$B$5</f>
        <v>0</v>
      </c>
      <c r="H18" s="134">
        <f t="shared" si="1"/>
        <v>0</v>
      </c>
    </row>
    <row r="19" spans="1:8" x14ac:dyDescent="0.2">
      <c r="A19" s="1" t="s">
        <v>72</v>
      </c>
      <c r="B19" s="84">
        <f>'Aggregate AR Results'!D9</f>
        <v>0</v>
      </c>
      <c r="C19" s="84">
        <f>B19*Inputs!$C$3</f>
        <v>0</v>
      </c>
      <c r="D19" s="84">
        <f>C19*Inputs!C$4</f>
        <v>0</v>
      </c>
      <c r="E19" s="88"/>
      <c r="F19" s="122"/>
      <c r="G19" s="84">
        <f>C19*'GBFF Pot'!$B$5</f>
        <v>0</v>
      </c>
      <c r="H19" s="134">
        <f t="shared" si="1"/>
        <v>0</v>
      </c>
    </row>
    <row r="20" spans="1:8" x14ac:dyDescent="0.2">
      <c r="A20" s="1" t="s">
        <v>77</v>
      </c>
      <c r="B20" s="84">
        <f>'Aggregate AR Results'!D10</f>
        <v>0</v>
      </c>
      <c r="C20" s="84">
        <f>B20*Inputs!$C$3</f>
        <v>0</v>
      </c>
      <c r="D20" s="84">
        <f>C20*Inputs!C$4</f>
        <v>0</v>
      </c>
      <c r="E20" s="88"/>
      <c r="F20" s="122"/>
      <c r="G20" s="84">
        <f>C20*'GBFF Pot'!$B$5</f>
        <v>0</v>
      </c>
      <c r="H20" s="134">
        <f t="shared" si="1"/>
        <v>0</v>
      </c>
    </row>
    <row r="21" spans="1:8" x14ac:dyDescent="0.2">
      <c r="A21" t="s">
        <v>227</v>
      </c>
      <c r="B21" s="84">
        <f>'Aggregate AR Results'!D12</f>
        <v>0</v>
      </c>
      <c r="C21" s="84">
        <f>B21*Inputs!$C$3</f>
        <v>0</v>
      </c>
      <c r="D21" s="88"/>
      <c r="E21" s="88"/>
      <c r="F21" s="122"/>
      <c r="G21" s="84">
        <f>C21*'GBFF Pot'!$B$5</f>
        <v>0</v>
      </c>
      <c r="H21" s="134">
        <f t="shared" si="1"/>
        <v>0</v>
      </c>
    </row>
    <row r="22" spans="1:8" x14ac:dyDescent="0.2">
      <c r="A22" s="1" t="s">
        <v>228</v>
      </c>
      <c r="B22" s="84">
        <f>'Aggregate AR Results'!D13</f>
        <v>0</v>
      </c>
      <c r="C22" s="84">
        <f>B22*Inputs!$C$3</f>
        <v>0</v>
      </c>
      <c r="D22" s="88"/>
      <c r="E22" s="88"/>
      <c r="F22" s="122"/>
      <c r="G22" s="84">
        <f>C22*'GBFF Pot'!$B$5</f>
        <v>0</v>
      </c>
      <c r="H22" s="134">
        <f t="shared" si="1"/>
        <v>0</v>
      </c>
    </row>
    <row r="23" spans="1:8" x14ac:dyDescent="0.2">
      <c r="A23" s="1" t="s">
        <v>229</v>
      </c>
      <c r="B23" s="87">
        <f>'Aggregate AR Results'!D14</f>
        <v>0</v>
      </c>
      <c r="C23" s="88"/>
      <c r="D23" s="88"/>
      <c r="E23" s="87"/>
      <c r="F23" s="122">
        <f>B23*Inputs!$C$10</f>
        <v>0</v>
      </c>
      <c r="G23" s="122">
        <f>F23*'GBFF Pot'!$B$5</f>
        <v>0</v>
      </c>
      <c r="H23" s="214">
        <f t="shared" si="1"/>
        <v>0</v>
      </c>
    </row>
    <row r="24" spans="1:8" x14ac:dyDescent="0.2">
      <c r="A24" s="1" t="s">
        <v>230</v>
      </c>
      <c r="B24" s="87">
        <f>'Aggregate AR Results'!D15</f>
        <v>0</v>
      </c>
      <c r="C24" s="88"/>
      <c r="D24" s="88"/>
      <c r="E24" s="87"/>
      <c r="F24" s="122">
        <f>B24*Inputs!$C$10</f>
        <v>0</v>
      </c>
      <c r="G24" s="122">
        <f>F24*'GBFF Pot'!$B$5</f>
        <v>0</v>
      </c>
      <c r="H24" s="214">
        <f t="shared" si="1"/>
        <v>0</v>
      </c>
    </row>
    <row r="25" spans="1:8" x14ac:dyDescent="0.2">
      <c r="A25" s="1" t="s">
        <v>231</v>
      </c>
      <c r="B25" s="87">
        <f>'Aggregate AR Results'!D16</f>
        <v>0</v>
      </c>
      <c r="C25" s="88"/>
      <c r="D25" s="88"/>
      <c r="E25" s="87"/>
      <c r="F25" s="122">
        <f>B25*Inputs!$C$10</f>
        <v>0</v>
      </c>
      <c r="G25" s="122">
        <f>F25*'GBFF Pot'!$B$5</f>
        <v>0</v>
      </c>
      <c r="H25" s="214">
        <f t="shared" si="1"/>
        <v>0</v>
      </c>
    </row>
    <row r="26" spans="1:8" x14ac:dyDescent="0.2">
      <c r="A26" s="1" t="s">
        <v>232</v>
      </c>
      <c r="B26" s="86" t="e">
        <f>B23/B34</f>
        <v>#DIV/0!</v>
      </c>
      <c r="C26" s="88"/>
      <c r="D26" s="88"/>
      <c r="E26" s="87"/>
      <c r="F26" s="122"/>
      <c r="G26" s="122"/>
      <c r="H26" s="215" t="e">
        <f>B26</f>
        <v>#DIV/0!</v>
      </c>
    </row>
    <row r="27" spans="1:8" x14ac:dyDescent="0.2">
      <c r="A27" s="1" t="s">
        <v>233</v>
      </c>
      <c r="B27" s="87">
        <f>'Aggregate AR Results'!D17</f>
        <v>0</v>
      </c>
      <c r="C27" s="88"/>
      <c r="D27" s="88"/>
      <c r="E27" s="87"/>
      <c r="F27" s="122">
        <f>B27*Inputs!$C$10</f>
        <v>0</v>
      </c>
      <c r="G27" s="122">
        <f>F27*'GBFF Pot'!$B$5</f>
        <v>0</v>
      </c>
      <c r="H27" s="214">
        <f>G27</f>
        <v>0</v>
      </c>
    </row>
    <row r="28" spans="1:8" x14ac:dyDescent="0.2">
      <c r="A28" s="1" t="s">
        <v>234</v>
      </c>
      <c r="B28" s="218" t="e">
        <f>B27/B34</f>
        <v>#DIV/0!</v>
      </c>
      <c r="C28" s="88"/>
      <c r="D28" s="88"/>
      <c r="E28" s="87"/>
      <c r="F28" s="122"/>
      <c r="G28" s="122"/>
      <c r="H28" s="216" t="e">
        <f>B28</f>
        <v>#DIV/0!</v>
      </c>
    </row>
    <row r="29" spans="1:8" x14ac:dyDescent="0.2">
      <c r="A29" s="1" t="s">
        <v>235</v>
      </c>
      <c r="B29" s="87">
        <f>'Aggregate AR Results'!D18</f>
        <v>0</v>
      </c>
      <c r="C29" s="88"/>
      <c r="D29" s="88"/>
      <c r="E29" s="87"/>
      <c r="F29" s="122">
        <f>B29*Inputs!$C$10</f>
        <v>0</v>
      </c>
      <c r="G29" s="122">
        <f>F29*'GBFF Pot'!$B$5</f>
        <v>0</v>
      </c>
      <c r="H29" s="214">
        <f>G29</f>
        <v>0</v>
      </c>
    </row>
    <row r="30" spans="1:8" x14ac:dyDescent="0.2">
      <c r="A30" s="1" t="s">
        <v>236</v>
      </c>
      <c r="B30" s="218" t="e">
        <f>B29/B34</f>
        <v>#DIV/0!</v>
      </c>
      <c r="C30" s="88"/>
      <c r="D30" s="88"/>
      <c r="E30" s="87"/>
      <c r="F30" s="122"/>
      <c r="G30" s="122"/>
      <c r="H30" s="216" t="e">
        <f>B30</f>
        <v>#DIV/0!</v>
      </c>
    </row>
    <row r="31" spans="1:8" x14ac:dyDescent="0.2">
      <c r="A31" s="1" t="s">
        <v>237</v>
      </c>
      <c r="B31" s="87">
        <f>'Aggregate AR Results'!D19</f>
        <v>0</v>
      </c>
      <c r="C31" s="88"/>
      <c r="D31" s="88"/>
      <c r="E31" s="87"/>
      <c r="F31" s="122">
        <f>B31*Inputs!$C$10</f>
        <v>0</v>
      </c>
      <c r="G31" s="122">
        <f>F31*'GBFF Pot'!$B$5</f>
        <v>0</v>
      </c>
      <c r="H31" s="214">
        <f>G31</f>
        <v>0</v>
      </c>
    </row>
    <row r="32" spans="1:8" x14ac:dyDescent="0.2">
      <c r="A32" t="s">
        <v>238</v>
      </c>
      <c r="B32" s="218" t="e">
        <f>B31/B34</f>
        <v>#DIV/0!</v>
      </c>
      <c r="H32" s="216" t="e">
        <f>B32</f>
        <v>#DIV/0!</v>
      </c>
    </row>
    <row r="33" spans="1:8" x14ac:dyDescent="0.2">
      <c r="B33" s="218"/>
      <c r="H33" s="216"/>
    </row>
    <row r="34" spans="1:8" x14ac:dyDescent="0.2">
      <c r="A34" t="s">
        <v>199</v>
      </c>
      <c r="B34" s="232">
        <f>'Aggregate ICF Results'!D19</f>
        <v>0</v>
      </c>
      <c r="H34" s="216"/>
    </row>
    <row r="35" spans="1:8" ht="15" x14ac:dyDescent="0.25">
      <c r="B35" s="185"/>
    </row>
    <row r="36" spans="1:8" ht="173.25" customHeight="1" x14ac:dyDescent="0.2">
      <c r="A36" s="337" t="s">
        <v>245</v>
      </c>
      <c r="B36" s="328"/>
      <c r="C36" s="328"/>
      <c r="D36" s="328"/>
      <c r="E36" s="328"/>
      <c r="F36" s="328"/>
    </row>
  </sheetData>
  <mergeCells count="1">
    <mergeCell ref="A36:F36"/>
  </mergeCells>
  <dataValidations count="1">
    <dataValidation type="custom" allowBlank="1" showDropDown="1" showInputMessage="1" showErrorMessage="1" sqref="B1" xr:uid="{F90FBE86-2025-4B0E-B06F-DA60E4A87124}">
      <formula1>2025</formula1>
    </dataValidation>
  </dataValidation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2B71D-016B-482D-B5B9-94BE6BAC2D8C}">
  <sheetPr>
    <tabColor rgb="FFFFC000"/>
    <pageSetUpPr fitToPage="1"/>
  </sheetPr>
  <dimension ref="A1:U88"/>
  <sheetViews>
    <sheetView tabSelected="1" zoomScaleNormal="100" workbookViewId="0">
      <selection activeCell="J8" sqref="J8:J31"/>
    </sheetView>
  </sheetViews>
  <sheetFormatPr defaultColWidth="9.140625" defaultRowHeight="12.75" x14ac:dyDescent="0.2"/>
  <cols>
    <col min="1" max="1" width="30.5703125" style="5" customWidth="1"/>
    <col min="2" max="2" width="42.5703125" style="5" customWidth="1"/>
    <col min="3" max="3" width="9.5703125" style="5" customWidth="1"/>
    <col min="4" max="4" width="27.42578125" style="5" bestFit="1" customWidth="1"/>
    <col min="5" max="5" width="25.5703125" style="5" bestFit="1" customWidth="1"/>
    <col min="6" max="6" width="24.85546875" style="5" bestFit="1" customWidth="1"/>
    <col min="7" max="7" width="26.85546875" style="5" bestFit="1" customWidth="1"/>
    <col min="8" max="8" width="29.140625" style="5" customWidth="1"/>
    <col min="9" max="9" width="20.85546875" style="5" hidden="1" customWidth="1"/>
    <col min="10" max="10" width="104.85546875" style="5" customWidth="1"/>
    <col min="11" max="11" width="9.140625" style="63"/>
    <col min="12" max="16384" width="9.140625" style="5"/>
  </cols>
  <sheetData>
    <row r="1" spans="1:21" ht="13.5" thickBot="1" x14ac:dyDescent="0.25">
      <c r="A1" s="3" t="s">
        <v>246</v>
      </c>
      <c r="B1" s="319" t="s">
        <v>247</v>
      </c>
      <c r="C1" s="320"/>
      <c r="D1" s="320"/>
      <c r="E1" s="320"/>
      <c r="F1" s="320"/>
      <c r="G1" s="320"/>
      <c r="H1" s="320"/>
      <c r="I1" s="320"/>
      <c r="J1" s="321"/>
    </row>
    <row r="2" spans="1:21" ht="13.5" thickBot="1" x14ac:dyDescent="0.25">
      <c r="A2" s="6" t="s">
        <v>248</v>
      </c>
      <c r="B2" s="3" t="s">
        <v>249</v>
      </c>
      <c r="C2" s="8"/>
      <c r="D2" s="9" t="s">
        <v>250</v>
      </c>
      <c r="E2" s="10" t="s">
        <v>251</v>
      </c>
      <c r="F2" s="10" t="s">
        <v>252</v>
      </c>
      <c r="G2" s="10" t="s">
        <v>253</v>
      </c>
      <c r="H2" s="10" t="s">
        <v>345</v>
      </c>
      <c r="I2" s="10" t="s">
        <v>254</v>
      </c>
      <c r="J2" s="11" t="s">
        <v>255</v>
      </c>
    </row>
    <row r="3" spans="1:21" ht="84" customHeight="1" thickBot="1" x14ac:dyDescent="0.25">
      <c r="A3" s="307" t="s">
        <v>256</v>
      </c>
      <c r="B3" s="307" t="s">
        <v>257</v>
      </c>
      <c r="C3" s="12" t="s">
        <v>258</v>
      </c>
      <c r="D3" s="13" t="s">
        <v>259</v>
      </c>
      <c r="E3" s="13" t="s">
        <v>260</v>
      </c>
      <c r="F3" s="14" t="s">
        <v>261</v>
      </c>
      <c r="G3" s="14" t="s">
        <v>262</v>
      </c>
      <c r="H3" s="14" t="s">
        <v>346</v>
      </c>
      <c r="I3" s="4" t="s">
        <v>263</v>
      </c>
      <c r="J3" s="322" t="s">
        <v>264</v>
      </c>
    </row>
    <row r="4" spans="1:21" ht="13.5" thickBot="1" x14ac:dyDescent="0.25">
      <c r="A4" s="308"/>
      <c r="B4" s="308"/>
      <c r="C4" s="15" t="s">
        <v>265</v>
      </c>
      <c r="D4" s="14" t="s">
        <v>266</v>
      </c>
      <c r="E4" s="14" t="s">
        <v>267</v>
      </c>
      <c r="F4" s="14" t="s">
        <v>268</v>
      </c>
      <c r="G4" s="14" t="s">
        <v>347</v>
      </c>
      <c r="H4" s="14" t="s">
        <v>348</v>
      </c>
      <c r="I4" s="16"/>
      <c r="J4" s="323"/>
    </row>
    <row r="5" spans="1:21" ht="13.5" thickBot="1" x14ac:dyDescent="0.25">
      <c r="A5" s="308"/>
      <c r="B5" s="308"/>
      <c r="C5" s="165"/>
      <c r="D5" s="293" t="s">
        <v>7</v>
      </c>
      <c r="E5" s="294"/>
      <c r="F5" s="294"/>
      <c r="G5" s="294"/>
      <c r="H5" s="294"/>
      <c r="I5" s="294"/>
      <c r="J5" s="323"/>
      <c r="U5" s="180"/>
    </row>
    <row r="6" spans="1:21" ht="13.5" thickBot="1" x14ac:dyDescent="0.25">
      <c r="A6" s="308"/>
      <c r="B6" s="308"/>
      <c r="C6" s="27"/>
      <c r="D6" s="325" t="s">
        <v>269</v>
      </c>
      <c r="E6" s="326"/>
      <c r="F6" s="326"/>
      <c r="G6" s="326"/>
      <c r="H6" s="326"/>
      <c r="I6" s="326"/>
      <c r="J6" s="324"/>
    </row>
    <row r="7" spans="1:21" ht="13.5" thickBot="1" x14ac:dyDescent="0.25">
      <c r="A7" s="20" t="s">
        <v>270</v>
      </c>
      <c r="B7" s="3" t="s">
        <v>271</v>
      </c>
      <c r="C7" s="160"/>
      <c r="D7" s="9" t="s">
        <v>250</v>
      </c>
      <c r="E7" s="10" t="s">
        <v>251</v>
      </c>
      <c r="F7" s="10" t="s">
        <v>252</v>
      </c>
      <c r="G7" s="10" t="s">
        <v>253</v>
      </c>
      <c r="H7" s="10" t="s">
        <v>253</v>
      </c>
      <c r="I7" s="166" t="s">
        <v>254</v>
      </c>
      <c r="J7" s="169" t="s">
        <v>255</v>
      </c>
    </row>
    <row r="8" spans="1:21" ht="25.5" customHeight="1" thickBot="1" x14ac:dyDescent="0.25">
      <c r="A8" s="304" t="s">
        <v>272</v>
      </c>
      <c r="B8" s="307" t="s">
        <v>273</v>
      </c>
      <c r="C8" s="76" t="s">
        <v>258</v>
      </c>
      <c r="D8" s="268" t="s">
        <v>274</v>
      </c>
      <c r="E8" s="269"/>
      <c r="F8" s="269"/>
      <c r="G8" s="269"/>
      <c r="H8" s="270"/>
      <c r="I8" s="167" t="s">
        <v>263</v>
      </c>
      <c r="J8" s="290" t="s">
        <v>350</v>
      </c>
    </row>
    <row r="9" spans="1:21" ht="13.5" thickBot="1" x14ac:dyDescent="0.25">
      <c r="A9" s="305"/>
      <c r="B9" s="308"/>
      <c r="C9" s="161" t="s">
        <v>265</v>
      </c>
      <c r="D9" s="163"/>
      <c r="E9" s="164">
        <f>'AR25 Results'!H3</f>
        <v>42094.709574322696</v>
      </c>
      <c r="F9" s="164">
        <f>E9+'AR26 Results'!H3</f>
        <v>54610.455208677158</v>
      </c>
      <c r="G9" s="165"/>
      <c r="H9" s="165"/>
      <c r="I9" s="165"/>
      <c r="J9" s="310"/>
    </row>
    <row r="10" spans="1:21" ht="13.5" thickBot="1" x14ac:dyDescent="0.25">
      <c r="A10" s="305"/>
      <c r="B10" s="308"/>
      <c r="C10" s="17"/>
      <c r="D10" s="312" t="s">
        <v>7</v>
      </c>
      <c r="E10" s="313"/>
      <c r="F10" s="313"/>
      <c r="G10" s="313"/>
      <c r="H10" s="313"/>
      <c r="I10" s="314"/>
      <c r="J10" s="310"/>
    </row>
    <row r="11" spans="1:21" ht="12.95" customHeight="1" thickBot="1" x14ac:dyDescent="0.25">
      <c r="A11" s="305"/>
      <c r="B11" s="309"/>
      <c r="C11" s="24"/>
      <c r="D11" s="277" t="s">
        <v>275</v>
      </c>
      <c r="E11" s="278"/>
      <c r="F11" s="278"/>
      <c r="G11" s="278"/>
      <c r="H11" s="278"/>
      <c r="I11" s="279"/>
      <c r="J11" s="310"/>
    </row>
    <row r="12" spans="1:21" ht="13.5" thickBot="1" x14ac:dyDescent="0.25">
      <c r="A12" s="305"/>
      <c r="B12" s="3" t="s">
        <v>276</v>
      </c>
      <c r="C12" s="160"/>
      <c r="D12" s="9" t="s">
        <v>250</v>
      </c>
      <c r="E12" s="156" t="s">
        <v>251</v>
      </c>
      <c r="F12" s="156" t="s">
        <v>252</v>
      </c>
      <c r="G12" s="156" t="s">
        <v>253</v>
      </c>
      <c r="H12" s="156" t="s">
        <v>253</v>
      </c>
      <c r="I12" s="10" t="s">
        <v>254</v>
      </c>
      <c r="J12" s="310"/>
    </row>
    <row r="13" spans="1:21" ht="14.45" customHeight="1" thickBot="1" x14ac:dyDescent="0.25">
      <c r="A13" s="305"/>
      <c r="B13" s="315" t="s">
        <v>277</v>
      </c>
      <c r="C13" s="76" t="s">
        <v>258</v>
      </c>
      <c r="D13" s="170" t="s">
        <v>278</v>
      </c>
      <c r="E13" s="82">
        <f>Milestones!E4/1000000</f>
        <v>6.1881375600000013</v>
      </c>
      <c r="F13" s="82">
        <f>Milestones!F4/1000000</f>
        <v>12.376275120000003</v>
      </c>
      <c r="G13" s="82">
        <f>Milestones!G4/1000000</f>
        <v>18.564412680000004</v>
      </c>
      <c r="H13" s="82">
        <f>Milestones!H4/1000000</f>
        <v>24.752550240000005</v>
      </c>
      <c r="I13" s="21"/>
      <c r="J13" s="310"/>
      <c r="L13" s="64"/>
    </row>
    <row r="14" spans="1:21" ht="13.5" thickBot="1" x14ac:dyDescent="0.25">
      <c r="A14" s="305"/>
      <c r="B14" s="316"/>
      <c r="C14" s="161" t="s">
        <v>265</v>
      </c>
      <c r="D14" s="22"/>
      <c r="E14" s="72">
        <f>'AR25 Results'!H5/1000000</f>
        <v>10.613837383334499</v>
      </c>
      <c r="F14" s="72">
        <f>E14+'AR26 Results'!H5/1000000</f>
        <v>17.892294933472179</v>
      </c>
      <c r="G14" s="14"/>
      <c r="H14" s="14"/>
      <c r="I14" s="14"/>
      <c r="J14" s="310"/>
      <c r="L14" s="63"/>
    </row>
    <row r="15" spans="1:21" ht="13.5" thickBot="1" x14ac:dyDescent="0.25">
      <c r="A15" s="305"/>
      <c r="B15" s="316"/>
      <c r="C15" s="17"/>
      <c r="D15" s="293" t="s">
        <v>7</v>
      </c>
      <c r="E15" s="294"/>
      <c r="F15" s="294"/>
      <c r="G15" s="294"/>
      <c r="H15" s="294"/>
      <c r="I15" s="318"/>
      <c r="J15" s="310"/>
    </row>
    <row r="16" spans="1:21" ht="13.5" customHeight="1" thickBot="1" x14ac:dyDescent="0.25">
      <c r="A16" s="305"/>
      <c r="B16" s="317"/>
      <c r="C16" s="24"/>
      <c r="D16" s="277" t="s">
        <v>279</v>
      </c>
      <c r="E16" s="278"/>
      <c r="F16" s="278"/>
      <c r="G16" s="278"/>
      <c r="H16" s="278"/>
      <c r="I16" s="279"/>
      <c r="J16" s="310"/>
    </row>
    <row r="17" spans="1:16" ht="13.5" thickBot="1" x14ac:dyDescent="0.25">
      <c r="A17" s="305"/>
      <c r="B17" s="3" t="s">
        <v>280</v>
      </c>
      <c r="C17" s="160"/>
      <c r="D17" s="9" t="s">
        <v>250</v>
      </c>
      <c r="E17" s="10" t="s">
        <v>251</v>
      </c>
      <c r="F17" s="10" t="s">
        <v>252</v>
      </c>
      <c r="G17" s="10" t="s">
        <v>253</v>
      </c>
      <c r="H17" s="10" t="s">
        <v>253</v>
      </c>
      <c r="I17" s="10" t="s">
        <v>254</v>
      </c>
      <c r="J17" s="310"/>
    </row>
    <row r="18" spans="1:16" ht="13.5" thickBot="1" x14ac:dyDescent="0.25">
      <c r="A18" s="305"/>
      <c r="B18" s="307" t="s">
        <v>281</v>
      </c>
      <c r="C18" s="76" t="s">
        <v>258</v>
      </c>
      <c r="D18" s="271" t="s">
        <v>282</v>
      </c>
      <c r="E18" s="272"/>
      <c r="F18" s="272"/>
      <c r="G18" s="272"/>
      <c r="H18" s="273"/>
      <c r="I18" s="26" t="s">
        <v>263</v>
      </c>
      <c r="J18" s="310"/>
    </row>
    <row r="19" spans="1:16" ht="13.5" thickBot="1" x14ac:dyDescent="0.25">
      <c r="A19" s="305"/>
      <c r="B19" s="308"/>
      <c r="C19" s="161" t="s">
        <v>265</v>
      </c>
      <c r="D19" s="22"/>
      <c r="E19" s="72">
        <f>'AR25 Results'!H6/1000000</f>
        <v>9.5369082261329101</v>
      </c>
      <c r="F19" s="157">
        <f>E19+('AR26 Results'!H6/1000000)</f>
        <v>13.738884477784094</v>
      </c>
      <c r="G19" s="85"/>
      <c r="H19" s="85"/>
      <c r="I19" s="14"/>
      <c r="J19" s="310"/>
    </row>
    <row r="20" spans="1:16" ht="13.5" thickBot="1" x14ac:dyDescent="0.25">
      <c r="A20" s="305"/>
      <c r="B20" s="308"/>
      <c r="C20" s="17"/>
      <c r="D20" s="293" t="s">
        <v>7</v>
      </c>
      <c r="E20" s="294"/>
      <c r="F20" s="294"/>
      <c r="G20" s="294"/>
      <c r="H20" s="294"/>
      <c r="I20" s="318"/>
      <c r="J20" s="310"/>
    </row>
    <row r="21" spans="1:16" ht="13.5" customHeight="1" thickBot="1" x14ac:dyDescent="0.25">
      <c r="A21" s="305"/>
      <c r="B21" s="309"/>
      <c r="C21" s="24"/>
      <c r="D21" s="277" t="s">
        <v>283</v>
      </c>
      <c r="E21" s="278"/>
      <c r="F21" s="278"/>
      <c r="G21" s="278"/>
      <c r="H21" s="278"/>
      <c r="I21" s="279"/>
      <c r="J21" s="310"/>
    </row>
    <row r="22" spans="1:16" ht="12.95" customHeight="1" thickBot="1" x14ac:dyDescent="0.25">
      <c r="A22" s="305"/>
      <c r="B22" s="3" t="s">
        <v>284</v>
      </c>
      <c r="C22" s="160"/>
      <c r="D22" s="9" t="s">
        <v>250</v>
      </c>
      <c r="E22" s="10" t="s">
        <v>251</v>
      </c>
      <c r="F22" s="10" t="s">
        <v>252</v>
      </c>
      <c r="G22" s="10" t="s">
        <v>253</v>
      </c>
      <c r="H22" s="10" t="s">
        <v>253</v>
      </c>
      <c r="I22" s="10" t="s">
        <v>254</v>
      </c>
      <c r="J22" s="310"/>
    </row>
    <row r="23" spans="1:16" ht="13.5" thickBot="1" x14ac:dyDescent="0.25">
      <c r="A23" s="305"/>
      <c r="B23" s="307" t="s">
        <v>285</v>
      </c>
      <c r="C23" s="76" t="s">
        <v>258</v>
      </c>
      <c r="D23" s="271" t="s">
        <v>282</v>
      </c>
      <c r="E23" s="272"/>
      <c r="F23" s="272"/>
      <c r="G23" s="272"/>
      <c r="H23" s="273"/>
      <c r="I23" s="21" t="s">
        <v>263</v>
      </c>
      <c r="J23" s="310"/>
    </row>
    <row r="24" spans="1:16" ht="13.5" thickBot="1" x14ac:dyDescent="0.25">
      <c r="A24" s="305"/>
      <c r="B24" s="308"/>
      <c r="C24" s="161" t="s">
        <v>265</v>
      </c>
      <c r="D24" s="22"/>
      <c r="E24" s="72">
        <f>'AR25 Results'!H7/1000000</f>
        <v>1.200912257351513</v>
      </c>
      <c r="F24" s="72">
        <f>E24+('AR26 Results'!H7/1000000)</f>
        <v>2.6621437728614374</v>
      </c>
      <c r="G24" s="85"/>
      <c r="H24" s="85"/>
      <c r="I24" s="14"/>
      <c r="J24" s="310"/>
      <c r="L24" s="40"/>
      <c r="M24" s="40"/>
    </row>
    <row r="25" spans="1:16" ht="13.5" thickBot="1" x14ac:dyDescent="0.25">
      <c r="A25" s="305"/>
      <c r="B25" s="308"/>
      <c r="C25" s="17"/>
      <c r="D25" s="293" t="s">
        <v>7</v>
      </c>
      <c r="E25" s="294"/>
      <c r="F25" s="294"/>
      <c r="G25" s="294"/>
      <c r="H25" s="294"/>
      <c r="I25" s="318"/>
      <c r="J25" s="310"/>
      <c r="L25" s="40"/>
      <c r="M25" s="40"/>
      <c r="N25" s="40"/>
      <c r="O25" s="40"/>
      <c r="P25" s="40"/>
    </row>
    <row r="26" spans="1:16" ht="13.5" customHeight="1" thickBot="1" x14ac:dyDescent="0.25">
      <c r="A26" s="305"/>
      <c r="B26" s="309"/>
      <c r="C26" s="24"/>
      <c r="D26" s="277" t="s">
        <v>283</v>
      </c>
      <c r="E26" s="278"/>
      <c r="F26" s="278"/>
      <c r="G26" s="278"/>
      <c r="H26" s="278"/>
      <c r="I26" s="279"/>
      <c r="J26" s="310"/>
      <c r="L26" s="40"/>
      <c r="M26" s="40"/>
      <c r="N26" s="40"/>
      <c r="O26" s="40"/>
      <c r="P26" s="40"/>
    </row>
    <row r="27" spans="1:16" ht="13.5" thickBot="1" x14ac:dyDescent="0.25">
      <c r="A27" s="305"/>
      <c r="B27" s="3" t="s">
        <v>286</v>
      </c>
      <c r="C27" s="162"/>
      <c r="D27" s="9" t="s">
        <v>250</v>
      </c>
      <c r="E27" s="10" t="s">
        <v>251</v>
      </c>
      <c r="F27" s="10" t="s">
        <v>252</v>
      </c>
      <c r="G27" s="10" t="s">
        <v>253</v>
      </c>
      <c r="H27" s="10" t="s">
        <v>253</v>
      </c>
      <c r="I27" s="10" t="s">
        <v>254</v>
      </c>
      <c r="J27" s="310"/>
    </row>
    <row r="28" spans="1:16" ht="13.5" customHeight="1" thickBot="1" x14ac:dyDescent="0.25">
      <c r="A28" s="305"/>
      <c r="B28" s="315" t="s">
        <v>287</v>
      </c>
      <c r="C28" s="76" t="s">
        <v>258</v>
      </c>
      <c r="D28" s="170" t="s">
        <v>278</v>
      </c>
      <c r="E28" s="82">
        <f>Milestones!E7/1000000</f>
        <v>3.4617750200000006</v>
      </c>
      <c r="F28" s="82">
        <f>Milestones!F7/1000000</f>
        <v>6.9235500400000012</v>
      </c>
      <c r="G28" s="82">
        <f>Milestones!G7/1000000</f>
        <v>10.385325060000003</v>
      </c>
      <c r="H28" s="82">
        <f>Milestones!H7/1000000</f>
        <v>13.847100080000002</v>
      </c>
      <c r="I28" s="26"/>
      <c r="J28" s="310"/>
    </row>
    <row r="29" spans="1:16" ht="13.5" thickBot="1" x14ac:dyDescent="0.25">
      <c r="A29" s="305"/>
      <c r="B29" s="316"/>
      <c r="C29" s="161" t="s">
        <v>265</v>
      </c>
      <c r="D29" s="22"/>
      <c r="E29" s="157">
        <f>'AR25 Results'!H8/1000000</f>
        <v>6.3598694758250369</v>
      </c>
      <c r="F29" s="157">
        <f>E29+('AR26 Results'!H8/1000000)</f>
        <v>8.2446611465773447</v>
      </c>
      <c r="G29" s="158"/>
      <c r="H29" s="158"/>
      <c r="I29" s="14"/>
      <c r="J29" s="310"/>
    </row>
    <row r="30" spans="1:16" ht="13.5" thickBot="1" x14ac:dyDescent="0.25">
      <c r="A30" s="305"/>
      <c r="B30" s="316"/>
      <c r="C30" s="17"/>
      <c r="D30" s="293" t="s">
        <v>288</v>
      </c>
      <c r="E30" s="294"/>
      <c r="F30" s="294"/>
      <c r="G30" s="294"/>
      <c r="H30" s="294"/>
      <c r="I30" s="318"/>
      <c r="J30" s="310"/>
    </row>
    <row r="31" spans="1:16" ht="17.25" customHeight="1" thickBot="1" x14ac:dyDescent="0.25">
      <c r="A31" s="306"/>
      <c r="B31" s="317"/>
      <c r="C31" s="24"/>
      <c r="D31" s="277" t="s">
        <v>279</v>
      </c>
      <c r="E31" s="278"/>
      <c r="F31" s="278"/>
      <c r="G31" s="278"/>
      <c r="H31" s="278"/>
      <c r="I31" s="279"/>
      <c r="J31" s="311"/>
    </row>
    <row r="32" spans="1:16" ht="13.5" thickBot="1" x14ac:dyDescent="0.25">
      <c r="A32" s="28" t="s">
        <v>289</v>
      </c>
      <c r="B32" s="29" t="s">
        <v>290</v>
      </c>
      <c r="C32" s="29"/>
      <c r="D32" s="29" t="s">
        <v>291</v>
      </c>
      <c r="E32" s="29"/>
      <c r="F32" s="29"/>
      <c r="G32" s="30"/>
      <c r="H32" s="30"/>
      <c r="I32" s="280"/>
      <c r="J32" s="281"/>
    </row>
    <row r="33" spans="1:11" ht="13.5" thickBot="1" x14ac:dyDescent="0.25">
      <c r="A33" s="31"/>
      <c r="B33" s="26" t="s">
        <v>292</v>
      </c>
      <c r="C33" s="26"/>
      <c r="D33" s="13" t="s">
        <v>292</v>
      </c>
      <c r="E33" s="32"/>
      <c r="F33" s="32"/>
      <c r="G33" s="33"/>
      <c r="H33" s="33"/>
      <c r="I33" s="282"/>
      <c r="J33" s="283"/>
      <c r="K33" s="33"/>
    </row>
    <row r="34" spans="1:11" ht="13.5" thickBot="1" x14ac:dyDescent="0.25">
      <c r="A34" s="28" t="s">
        <v>293</v>
      </c>
      <c r="B34" s="34" t="s">
        <v>294</v>
      </c>
      <c r="C34" s="35"/>
      <c r="D34" s="284"/>
      <c r="E34" s="285"/>
      <c r="F34" s="285"/>
      <c r="G34" s="285"/>
      <c r="H34" s="285"/>
      <c r="I34" s="285"/>
      <c r="J34" s="286"/>
    </row>
    <row r="35" spans="1:11" ht="13.5" thickBot="1" x14ac:dyDescent="0.25">
      <c r="A35" s="36"/>
      <c r="B35" s="13" t="s">
        <v>295</v>
      </c>
      <c r="C35" s="37"/>
      <c r="D35" s="287"/>
      <c r="E35" s="288"/>
      <c r="F35" s="288"/>
      <c r="G35" s="288"/>
      <c r="H35" s="288"/>
      <c r="I35" s="288"/>
      <c r="J35" s="289"/>
    </row>
    <row r="36" spans="1:11" ht="13.5" thickBot="1" x14ac:dyDescent="0.25">
      <c r="B36" s="7"/>
      <c r="C36" s="7"/>
      <c r="D36" s="7"/>
      <c r="E36" s="7"/>
      <c r="F36" s="7"/>
      <c r="G36" s="7"/>
      <c r="H36" s="7"/>
      <c r="I36" s="7"/>
    </row>
    <row r="37" spans="1:11" ht="13.5" thickBot="1" x14ac:dyDescent="0.25">
      <c r="A37" s="20" t="s">
        <v>296</v>
      </c>
      <c r="B37" s="8" t="s">
        <v>297</v>
      </c>
      <c r="C37" s="8"/>
      <c r="D37" s="9" t="s">
        <v>250</v>
      </c>
      <c r="E37" s="10" t="s">
        <v>251</v>
      </c>
      <c r="F37" s="10" t="s">
        <v>252</v>
      </c>
      <c r="G37" s="10" t="s">
        <v>253</v>
      </c>
      <c r="H37" s="10" t="s">
        <v>253</v>
      </c>
      <c r="I37" s="10" t="s">
        <v>254</v>
      </c>
      <c r="J37" s="38" t="s">
        <v>255</v>
      </c>
    </row>
    <row r="38" spans="1:11" s="40" customFormat="1" ht="12.75" customHeight="1" thickBot="1" x14ac:dyDescent="0.25">
      <c r="A38" s="299"/>
      <c r="B38" s="301" t="s">
        <v>298</v>
      </c>
      <c r="C38" s="12" t="s">
        <v>258</v>
      </c>
      <c r="D38" s="56" t="s">
        <v>278</v>
      </c>
      <c r="E38" s="67">
        <f>Milestones!E10/1000000</f>
        <v>1.01093465</v>
      </c>
      <c r="F38" s="67">
        <f>Milestones!F10/1000000</f>
        <v>2.0218693000000001</v>
      </c>
      <c r="G38" s="67">
        <f>Milestones!G10/1000000</f>
        <v>3.0328039500000004</v>
      </c>
      <c r="H38" s="67">
        <f>Milestones!H10/1000000</f>
        <v>4.0437386000000002</v>
      </c>
      <c r="I38" s="39"/>
      <c r="J38" s="290" t="s">
        <v>349</v>
      </c>
      <c r="K38" s="63"/>
    </row>
    <row r="39" spans="1:11" ht="14.25" customHeight="1" thickBot="1" x14ac:dyDescent="0.25">
      <c r="A39" s="300"/>
      <c r="B39" s="302"/>
      <c r="C39" s="41" t="s">
        <v>265</v>
      </c>
      <c r="D39" s="22"/>
      <c r="E39" s="71">
        <f>'AR25 Results'!H16/1000000</f>
        <v>1.6975916814645784</v>
      </c>
      <c r="F39" s="71">
        <f>E39+('AR26 Results'!H16/1000000)</f>
        <v>2.2482223418920899</v>
      </c>
      <c r="G39" s="14"/>
      <c r="H39" s="14"/>
      <c r="I39" s="16"/>
      <c r="J39" s="291"/>
    </row>
    <row r="40" spans="1:11" ht="13.5" customHeight="1" thickBot="1" x14ac:dyDescent="0.25">
      <c r="A40" s="300"/>
      <c r="B40" s="302"/>
      <c r="C40" s="293" t="s">
        <v>7</v>
      </c>
      <c r="D40" s="294"/>
      <c r="E40" s="294"/>
      <c r="F40" s="294"/>
      <c r="G40" s="294"/>
      <c r="H40" s="294"/>
      <c r="I40" s="294"/>
      <c r="J40" s="291"/>
    </row>
    <row r="41" spans="1:11" ht="12.75" customHeight="1" thickBot="1" x14ac:dyDescent="0.25">
      <c r="A41" s="300"/>
      <c r="B41" s="303"/>
      <c r="C41" s="277" t="s">
        <v>279</v>
      </c>
      <c r="D41" s="278"/>
      <c r="E41" s="278"/>
      <c r="F41" s="278"/>
      <c r="G41" s="278"/>
      <c r="H41" s="278"/>
      <c r="I41" s="278"/>
      <c r="J41" s="291"/>
    </row>
    <row r="42" spans="1:11" ht="13.5" customHeight="1" thickBot="1" x14ac:dyDescent="0.25">
      <c r="A42" s="300"/>
      <c r="B42" s="8" t="s">
        <v>299</v>
      </c>
      <c r="C42" s="42"/>
      <c r="D42" s="43" t="s">
        <v>250</v>
      </c>
      <c r="E42" s="44" t="s">
        <v>251</v>
      </c>
      <c r="F42" s="44" t="s">
        <v>252</v>
      </c>
      <c r="G42" s="44" t="s">
        <v>253</v>
      </c>
      <c r="H42" s="44" t="s">
        <v>253</v>
      </c>
      <c r="I42" s="53" t="s">
        <v>254</v>
      </c>
      <c r="J42" s="291"/>
    </row>
    <row r="43" spans="1:11" ht="13.5" thickBot="1" x14ac:dyDescent="0.25">
      <c r="A43" s="300"/>
      <c r="B43" s="301" t="s">
        <v>300</v>
      </c>
      <c r="C43" s="45" t="s">
        <v>258</v>
      </c>
      <c r="D43" s="46" t="s">
        <v>278</v>
      </c>
      <c r="E43" s="73">
        <f>Milestones!E11/1000000</f>
        <v>0.19117219000000002</v>
      </c>
      <c r="F43" s="73">
        <f>Milestones!F11/1000000</f>
        <v>0.38234438000000004</v>
      </c>
      <c r="G43" s="73">
        <f>Milestones!G11/1000000</f>
        <v>0.57351657000000011</v>
      </c>
      <c r="H43" s="73">
        <f>Milestones!H11/1000000</f>
        <v>0.76468876000000008</v>
      </c>
      <c r="I43" s="47"/>
      <c r="J43" s="291"/>
    </row>
    <row r="44" spans="1:11" ht="16.5" customHeight="1" thickBot="1" x14ac:dyDescent="0.25">
      <c r="A44" s="300"/>
      <c r="B44" s="302"/>
      <c r="C44" s="48" t="s">
        <v>265</v>
      </c>
      <c r="D44" s="49"/>
      <c r="E44" s="71">
        <f>'AR25 Results'!H17/1000000</f>
        <v>3.3770233285335038</v>
      </c>
      <c r="F44" s="71">
        <f>E44+('AR26 Results'!H17/1000000)</f>
        <v>4.6031598319318601</v>
      </c>
      <c r="G44" s="50"/>
      <c r="H44" s="50"/>
      <c r="I44" s="51"/>
      <c r="J44" s="291"/>
    </row>
    <row r="45" spans="1:11" ht="13.5" customHeight="1" thickBot="1" x14ac:dyDescent="0.25">
      <c r="A45" s="300"/>
      <c r="B45" s="302"/>
      <c r="C45" s="52" t="s">
        <v>7</v>
      </c>
      <c r="D45" s="53"/>
      <c r="E45" s="53"/>
      <c r="F45" s="53"/>
      <c r="G45" s="53"/>
      <c r="H45" s="53"/>
      <c r="I45" s="53"/>
      <c r="J45" s="291"/>
    </row>
    <row r="46" spans="1:11" ht="12.95" customHeight="1" thickBot="1" x14ac:dyDescent="0.25">
      <c r="A46" s="300"/>
      <c r="B46" s="303"/>
      <c r="C46" s="277" t="s">
        <v>279</v>
      </c>
      <c r="D46" s="278"/>
      <c r="E46" s="278"/>
      <c r="F46" s="278"/>
      <c r="G46" s="278"/>
      <c r="H46" s="279"/>
      <c r="I46" s="171"/>
      <c r="J46" s="291"/>
    </row>
    <row r="47" spans="1:11" ht="13.5" customHeight="1" thickBot="1" x14ac:dyDescent="0.25">
      <c r="A47" s="300"/>
      <c r="B47" s="8" t="s">
        <v>301</v>
      </c>
      <c r="C47" s="42"/>
      <c r="D47" s="43" t="s">
        <v>250</v>
      </c>
      <c r="E47" s="44" t="s">
        <v>251</v>
      </c>
      <c r="F47" s="44" t="s">
        <v>252</v>
      </c>
      <c r="G47" s="44" t="s">
        <v>253</v>
      </c>
      <c r="H47" s="44" t="s">
        <v>253</v>
      </c>
      <c r="I47" s="53" t="s">
        <v>254</v>
      </c>
      <c r="J47" s="291"/>
    </row>
    <row r="48" spans="1:11" ht="12.95" customHeight="1" thickBot="1" x14ac:dyDescent="0.25">
      <c r="A48" s="300"/>
      <c r="B48" s="301" t="s">
        <v>302</v>
      </c>
      <c r="C48" s="45" t="s">
        <v>258</v>
      </c>
      <c r="D48" s="46" t="s">
        <v>278</v>
      </c>
      <c r="E48" s="82">
        <f>Milestones!E12/1000</f>
        <v>16.55181</v>
      </c>
      <c r="F48" s="82">
        <f>Milestones!F12/1000</f>
        <v>33.103619999999999</v>
      </c>
      <c r="G48" s="82">
        <f>Milestones!G12/1000</f>
        <v>49.65543000000001</v>
      </c>
      <c r="H48" s="82">
        <f>Milestones!H12/1000</f>
        <v>66.207239999999999</v>
      </c>
      <c r="I48" s="47"/>
      <c r="J48" s="291"/>
    </row>
    <row r="49" spans="1:10" ht="13.5" customHeight="1" thickBot="1" x14ac:dyDescent="0.25">
      <c r="A49" s="300"/>
      <c r="B49" s="302"/>
      <c r="C49" s="48" t="s">
        <v>265</v>
      </c>
      <c r="D49" s="49"/>
      <c r="E49" s="72">
        <f>'AR25 Results'!H18/1000</f>
        <v>2.2657307536334845</v>
      </c>
      <c r="F49" s="72">
        <f>E49+('AR26 Results'!H18/1000)</f>
        <v>11.928776362395155</v>
      </c>
      <c r="G49" s="83"/>
      <c r="H49" s="83"/>
      <c r="I49" s="51"/>
      <c r="J49" s="291"/>
    </row>
    <row r="50" spans="1:10" ht="13.5" customHeight="1" thickBot="1" x14ac:dyDescent="0.25">
      <c r="A50" s="300"/>
      <c r="B50" s="302"/>
      <c r="C50" s="52" t="s">
        <v>7</v>
      </c>
      <c r="D50" s="53"/>
      <c r="E50" s="53"/>
      <c r="F50" s="53"/>
      <c r="G50" s="53"/>
      <c r="H50" s="53"/>
      <c r="I50" s="53"/>
      <c r="J50" s="291"/>
    </row>
    <row r="51" spans="1:10" ht="12.95" customHeight="1" thickBot="1" x14ac:dyDescent="0.25">
      <c r="A51" s="300"/>
      <c r="B51" s="303"/>
      <c r="C51" s="277" t="s">
        <v>279</v>
      </c>
      <c r="D51" s="278"/>
      <c r="E51" s="278"/>
      <c r="F51" s="278"/>
      <c r="G51" s="278"/>
      <c r="H51" s="279"/>
      <c r="I51" s="171"/>
      <c r="J51" s="291"/>
    </row>
    <row r="52" spans="1:10" ht="13.5" customHeight="1" thickBot="1" x14ac:dyDescent="0.25">
      <c r="A52" s="300"/>
      <c r="B52" s="8" t="s">
        <v>303</v>
      </c>
      <c r="C52" s="42"/>
      <c r="D52" s="43" t="s">
        <v>250</v>
      </c>
      <c r="E52" s="44" t="s">
        <v>251</v>
      </c>
      <c r="F52" s="44" t="s">
        <v>252</v>
      </c>
      <c r="G52" s="44" t="s">
        <v>253</v>
      </c>
      <c r="H52" s="44" t="s">
        <v>253</v>
      </c>
      <c r="I52" s="53" t="s">
        <v>254</v>
      </c>
      <c r="J52" s="291"/>
    </row>
    <row r="53" spans="1:10" ht="13.5" thickBot="1" x14ac:dyDescent="0.25">
      <c r="A53" s="300"/>
      <c r="B53" s="301" t="s">
        <v>304</v>
      </c>
      <c r="C53" s="45" t="s">
        <v>258</v>
      </c>
      <c r="D53" s="46" t="s">
        <v>278</v>
      </c>
      <c r="E53" s="67">
        <f>Milestones!E13/1000000</f>
        <v>1.3428495300000003</v>
      </c>
      <c r="F53" s="67">
        <f>Milestones!F13/1000000</f>
        <v>2.6856990600000006</v>
      </c>
      <c r="G53" s="67">
        <f>Milestones!G13/1000000</f>
        <v>4.0285485900000007</v>
      </c>
      <c r="H53" s="67">
        <f>Milestones!H13/1000000</f>
        <v>5.3713981200000012</v>
      </c>
      <c r="I53" s="47"/>
      <c r="J53" s="291"/>
    </row>
    <row r="54" spans="1:10" ht="13.5" customHeight="1" thickBot="1" x14ac:dyDescent="0.25">
      <c r="A54" s="300"/>
      <c r="B54" s="302"/>
      <c r="C54" s="41" t="s">
        <v>265</v>
      </c>
      <c r="D54" s="22"/>
      <c r="E54" s="71">
        <f>'AR25 Results'!H19/1000000</f>
        <v>1.6177187074851673</v>
      </c>
      <c r="F54" s="71">
        <f>E54+('AR26 Results'!H19/1000000)</f>
        <v>1.7274282861800039</v>
      </c>
      <c r="G54" s="14"/>
      <c r="H54" s="14"/>
      <c r="I54" s="16"/>
      <c r="J54" s="291"/>
    </row>
    <row r="55" spans="1:10" ht="13.5" customHeight="1" thickBot="1" x14ac:dyDescent="0.25">
      <c r="A55" s="300"/>
      <c r="B55" s="302"/>
      <c r="C55" s="293" t="s">
        <v>7</v>
      </c>
      <c r="D55" s="294"/>
      <c r="E55" s="294"/>
      <c r="F55" s="294"/>
      <c r="G55" s="294"/>
      <c r="H55" s="294"/>
      <c r="I55" s="294"/>
      <c r="J55" s="291"/>
    </row>
    <row r="56" spans="1:10" ht="18.75" customHeight="1" thickBot="1" x14ac:dyDescent="0.25">
      <c r="A56" s="300"/>
      <c r="B56" s="303"/>
      <c r="C56" s="277" t="s">
        <v>279</v>
      </c>
      <c r="D56" s="278"/>
      <c r="E56" s="278"/>
      <c r="F56" s="278"/>
      <c r="G56" s="278"/>
      <c r="H56" s="278"/>
      <c r="I56" s="278"/>
      <c r="J56" s="291"/>
    </row>
    <row r="57" spans="1:10" ht="13.5" customHeight="1" thickBot="1" x14ac:dyDescent="0.25">
      <c r="A57" s="300"/>
      <c r="B57" s="8" t="s">
        <v>305</v>
      </c>
      <c r="C57" s="54"/>
      <c r="D57" s="55" t="s">
        <v>250</v>
      </c>
      <c r="E57" s="23" t="s">
        <v>251</v>
      </c>
      <c r="F57" s="23" t="s">
        <v>252</v>
      </c>
      <c r="G57" s="23" t="s">
        <v>253</v>
      </c>
      <c r="H57" s="23" t="s">
        <v>253</v>
      </c>
      <c r="I57" s="19" t="s">
        <v>254</v>
      </c>
      <c r="J57" s="291"/>
    </row>
    <row r="58" spans="1:10" ht="14.25" customHeight="1" thickBot="1" x14ac:dyDescent="0.25">
      <c r="A58" s="300"/>
      <c r="B58" s="301" t="s">
        <v>306</v>
      </c>
      <c r="C58" s="12" t="s">
        <v>258</v>
      </c>
      <c r="D58" s="56" t="s">
        <v>278</v>
      </c>
      <c r="E58" s="67">
        <f>Milestones!E14/1000000</f>
        <v>0.90026684000000012</v>
      </c>
      <c r="F58" s="67">
        <f>Milestones!F14/1000000</f>
        <v>1.8005336800000002</v>
      </c>
      <c r="G58" s="67">
        <f>Milestones!G14/1000000</f>
        <v>2.7008005200000005</v>
      </c>
      <c r="H58" s="67">
        <f>Milestones!H14/1000000</f>
        <v>3.6010673600000005</v>
      </c>
      <c r="I58" s="57"/>
      <c r="J58" s="291"/>
    </row>
    <row r="59" spans="1:10" ht="13.5" customHeight="1" thickBot="1" x14ac:dyDescent="0.25">
      <c r="A59" s="300"/>
      <c r="B59" s="302"/>
      <c r="C59" s="41" t="s">
        <v>265</v>
      </c>
      <c r="D59" s="58"/>
      <c r="E59" s="71">
        <f>'AR25 Results'!H21/1000000</f>
        <v>4.5957025265683245E-2</v>
      </c>
      <c r="F59" s="71">
        <f>E59+('AR26 Results'!H20/1000000)</f>
        <v>0.13380846950706798</v>
      </c>
      <c r="G59" s="59"/>
      <c r="H59" s="59"/>
      <c r="I59" s="25"/>
      <c r="J59" s="291"/>
    </row>
    <row r="60" spans="1:10" ht="13.5" customHeight="1" thickBot="1" x14ac:dyDescent="0.25">
      <c r="A60" s="300"/>
      <c r="B60" s="302"/>
      <c r="C60" s="293" t="s">
        <v>7</v>
      </c>
      <c r="D60" s="294"/>
      <c r="E60" s="294"/>
      <c r="F60" s="294"/>
      <c r="G60" s="294"/>
      <c r="H60" s="294"/>
      <c r="I60" s="294"/>
      <c r="J60" s="291"/>
    </row>
    <row r="61" spans="1:10" ht="12.95" customHeight="1" thickBot="1" x14ac:dyDescent="0.25">
      <c r="A61" s="300"/>
      <c r="B61" s="303"/>
      <c r="C61" s="277" t="s">
        <v>279</v>
      </c>
      <c r="D61" s="278"/>
      <c r="E61" s="278"/>
      <c r="F61" s="278"/>
      <c r="G61" s="278"/>
      <c r="H61" s="278"/>
      <c r="I61" s="278"/>
      <c r="J61" s="291"/>
    </row>
    <row r="62" spans="1:10" ht="13.5" thickBot="1" x14ac:dyDescent="0.25">
      <c r="A62" s="300"/>
      <c r="B62" s="8" t="s">
        <v>307</v>
      </c>
      <c r="C62" s="26"/>
      <c r="D62" s="55" t="s">
        <v>250</v>
      </c>
      <c r="E62" s="55" t="s">
        <v>251</v>
      </c>
      <c r="F62" s="55" t="s">
        <v>252</v>
      </c>
      <c r="G62" s="55" t="s">
        <v>253</v>
      </c>
      <c r="H62" s="55" t="s">
        <v>253</v>
      </c>
      <c r="I62" s="172"/>
      <c r="J62" s="291"/>
    </row>
    <row r="63" spans="1:10" ht="13.5" customHeight="1" thickBot="1" x14ac:dyDescent="0.25">
      <c r="A63" s="300"/>
      <c r="B63" s="301" t="s">
        <v>308</v>
      </c>
      <c r="C63" s="60" t="s">
        <v>258</v>
      </c>
      <c r="D63" s="274" t="s">
        <v>309</v>
      </c>
      <c r="E63" s="275"/>
      <c r="F63" s="275"/>
      <c r="G63" s="275"/>
      <c r="H63" s="276"/>
      <c r="I63" s="173"/>
      <c r="J63" s="291"/>
    </row>
    <row r="64" spans="1:10" ht="13.5" customHeight="1" thickBot="1" x14ac:dyDescent="0.25">
      <c r="A64" s="300"/>
      <c r="B64" s="302"/>
      <c r="C64" s="12" t="s">
        <v>310</v>
      </c>
      <c r="D64" s="62"/>
      <c r="E64" s="155">
        <f>'AR25 Results'!H21</f>
        <v>45957.025265683245</v>
      </c>
      <c r="F64" s="155">
        <f>E64+'AR26 Results'!H21</f>
        <v>66257.368623371629</v>
      </c>
      <c r="G64" s="126"/>
      <c r="H64" s="126"/>
      <c r="I64" s="16"/>
      <c r="J64" s="291"/>
    </row>
    <row r="65" spans="1:10" ht="13.5" customHeight="1" thickBot="1" x14ac:dyDescent="0.25">
      <c r="A65" s="300"/>
      <c r="B65" s="302"/>
      <c r="C65" s="76" t="s">
        <v>311</v>
      </c>
      <c r="D65" s="62"/>
      <c r="E65" s="175">
        <f>'AR25 Results'!H22</f>
        <v>23156.67459443567</v>
      </c>
      <c r="F65" s="175">
        <f>E65+'AR26 Results'!H22</f>
        <v>33345.212647374727</v>
      </c>
      <c r="G65" s="127"/>
      <c r="H65" s="127"/>
      <c r="I65" s="173"/>
      <c r="J65" s="291"/>
    </row>
    <row r="66" spans="1:10" ht="13.5" customHeight="1" thickBot="1" x14ac:dyDescent="0.25">
      <c r="A66" s="300"/>
      <c r="B66" s="302"/>
      <c r="C66" s="76" t="s">
        <v>312</v>
      </c>
      <c r="D66" s="62"/>
      <c r="E66" s="176">
        <f>E65/E64</f>
        <v>0.5038767078714097</v>
      </c>
      <c r="F66" s="176">
        <f>F65/F64</f>
        <v>0.50326798875638612</v>
      </c>
      <c r="G66" s="127"/>
      <c r="H66" s="127"/>
      <c r="I66" s="173"/>
      <c r="J66" s="291"/>
    </row>
    <row r="67" spans="1:10" ht="13.5" customHeight="1" thickBot="1" x14ac:dyDescent="0.25">
      <c r="A67" s="300"/>
      <c r="B67" s="302"/>
      <c r="C67" s="293" t="s">
        <v>7</v>
      </c>
      <c r="D67" s="294"/>
      <c r="E67" s="295"/>
      <c r="F67" s="295"/>
      <c r="G67" s="295"/>
      <c r="H67" s="295"/>
      <c r="I67" s="172"/>
      <c r="J67" s="291"/>
    </row>
    <row r="68" spans="1:10" ht="13.5" customHeight="1" thickBot="1" x14ac:dyDescent="0.25">
      <c r="A68" s="300"/>
      <c r="B68" s="303"/>
      <c r="C68" s="277" t="s">
        <v>279</v>
      </c>
      <c r="D68" s="278"/>
      <c r="E68" s="278"/>
      <c r="F68" s="278"/>
      <c r="G68" s="278"/>
      <c r="H68" s="278"/>
      <c r="I68" s="278"/>
      <c r="J68" s="291"/>
    </row>
    <row r="69" spans="1:10" ht="13.5" thickBot="1" x14ac:dyDescent="0.25">
      <c r="A69" s="300"/>
      <c r="B69" s="8" t="s">
        <v>313</v>
      </c>
      <c r="C69" s="8"/>
      <c r="D69" s="9" t="s">
        <v>250</v>
      </c>
      <c r="E69" s="10" t="s">
        <v>251</v>
      </c>
      <c r="F69" s="10" t="s">
        <v>252</v>
      </c>
      <c r="G69" s="10" t="s">
        <v>253</v>
      </c>
      <c r="H69" s="10" t="s">
        <v>253</v>
      </c>
      <c r="I69" s="168" t="s">
        <v>254</v>
      </c>
      <c r="J69" s="291"/>
    </row>
    <row r="70" spans="1:10" ht="13.5" thickBot="1" x14ac:dyDescent="0.25">
      <c r="A70" s="300"/>
      <c r="B70" s="301" t="s">
        <v>314</v>
      </c>
      <c r="C70" s="12" t="s">
        <v>258</v>
      </c>
      <c r="D70" s="61" t="s">
        <v>315</v>
      </c>
      <c r="E70" s="124">
        <f>Milestones!E17</f>
        <v>7</v>
      </c>
      <c r="F70" s="124">
        <f>Milestones!F17</f>
        <v>7</v>
      </c>
      <c r="G70" s="124">
        <f>Milestones!F17</f>
        <v>7</v>
      </c>
      <c r="H70" s="124">
        <f>Milestones!G17</f>
        <v>7</v>
      </c>
      <c r="I70" s="174" t="s">
        <v>316</v>
      </c>
      <c r="J70" s="291"/>
    </row>
    <row r="71" spans="1:10" ht="13.5" thickBot="1" x14ac:dyDescent="0.25">
      <c r="A71" s="300"/>
      <c r="B71" s="302"/>
      <c r="C71" s="41" t="s">
        <v>265</v>
      </c>
      <c r="D71" s="62"/>
      <c r="E71" s="74">
        <f>'Aggregate AR Results'!B14/'Aggregate AR Results'!B22</f>
        <v>2.6596192696771617</v>
      </c>
      <c r="F71" s="74">
        <f>SUM('Aggregate AR Results'!B14:C14)/SUM('Aggregate AR Results'!B22:C22)</f>
        <v>2.3330515418469493</v>
      </c>
      <c r="G71" s="75"/>
      <c r="H71" s="75"/>
      <c r="I71" s="16"/>
      <c r="J71" s="291"/>
    </row>
    <row r="72" spans="1:10" ht="12.95" customHeight="1" thickBot="1" x14ac:dyDescent="0.25">
      <c r="A72" s="300"/>
      <c r="B72" s="302"/>
      <c r="C72" s="18" t="s">
        <v>7</v>
      </c>
      <c r="D72" s="19"/>
      <c r="E72" s="19"/>
      <c r="F72" s="19"/>
      <c r="G72" s="19"/>
      <c r="H72" s="19"/>
      <c r="I72" s="19"/>
      <c r="J72" s="291"/>
    </row>
    <row r="73" spans="1:10" ht="13.5" thickBot="1" x14ac:dyDescent="0.25">
      <c r="A73" s="300"/>
      <c r="B73" s="302"/>
      <c r="C73" s="277" t="s">
        <v>279</v>
      </c>
      <c r="D73" s="278"/>
      <c r="E73" s="278"/>
      <c r="F73" s="278"/>
      <c r="G73" s="278"/>
      <c r="H73" s="279"/>
      <c r="I73" s="151"/>
      <c r="J73" s="291"/>
    </row>
    <row r="74" spans="1:10" ht="13.5" thickBot="1" x14ac:dyDescent="0.25">
      <c r="A74" s="177"/>
      <c r="B74" s="3" t="s">
        <v>317</v>
      </c>
      <c r="C74" s="26"/>
      <c r="D74" s="55" t="s">
        <v>250</v>
      </c>
      <c r="E74" s="55" t="s">
        <v>251</v>
      </c>
      <c r="F74" s="55" t="s">
        <v>252</v>
      </c>
      <c r="G74" s="55" t="s">
        <v>253</v>
      </c>
      <c r="H74" s="55" t="s">
        <v>253</v>
      </c>
      <c r="I74" s="68"/>
      <c r="J74" s="291"/>
    </row>
    <row r="75" spans="1:10" ht="13.5" customHeight="1" thickBot="1" x14ac:dyDescent="0.25">
      <c r="A75" s="177"/>
      <c r="B75" s="296" t="s">
        <v>318</v>
      </c>
      <c r="C75" s="60" t="s">
        <v>258</v>
      </c>
      <c r="D75" s="78" t="s">
        <v>278</v>
      </c>
      <c r="E75" s="77">
        <f>Milestones!E18</f>
        <v>0.39</v>
      </c>
      <c r="F75" s="77">
        <f>Milestones!F18</f>
        <v>0.39</v>
      </c>
      <c r="G75" s="77">
        <f>Milestones!F18</f>
        <v>0.39</v>
      </c>
      <c r="H75" s="77">
        <f>Milestones!G18</f>
        <v>0.39</v>
      </c>
      <c r="I75" s="69"/>
      <c r="J75" s="291"/>
    </row>
    <row r="76" spans="1:10" ht="13.5" customHeight="1" thickBot="1" x14ac:dyDescent="0.25">
      <c r="A76" s="177"/>
      <c r="B76" s="297"/>
      <c r="C76" s="12" t="s">
        <v>265</v>
      </c>
      <c r="D76" s="79"/>
      <c r="E76" s="81">
        <f>'Aggregate AR Results'!B17/'Aggregate AR Results'!B22</f>
        <v>0.12081656778669111</v>
      </c>
      <c r="F76" s="81">
        <f>SUM('Aggregate AR Results'!B17:C17)/SUM('Aggregate AR Results'!B22:C22)</f>
        <v>0.25559033088160032</v>
      </c>
      <c r="G76" s="80"/>
      <c r="H76" s="80"/>
      <c r="I76" s="14"/>
      <c r="J76" s="291"/>
    </row>
    <row r="77" spans="1:10" ht="13.5" customHeight="1" thickBot="1" x14ac:dyDescent="0.25">
      <c r="A77" s="178"/>
      <c r="B77" s="297"/>
      <c r="C77" s="293" t="s">
        <v>7</v>
      </c>
      <c r="D77" s="294"/>
      <c r="E77" s="294"/>
      <c r="F77" s="294"/>
      <c r="G77" s="294"/>
      <c r="H77" s="294"/>
      <c r="I77" s="68"/>
      <c r="J77" s="291"/>
    </row>
    <row r="78" spans="1:10" ht="13.5" customHeight="1" thickBot="1" x14ac:dyDescent="0.25">
      <c r="A78" s="178"/>
      <c r="B78" s="298"/>
      <c r="C78" s="277" t="s">
        <v>279</v>
      </c>
      <c r="D78" s="278"/>
      <c r="E78" s="278"/>
      <c r="F78" s="278"/>
      <c r="G78" s="278"/>
      <c r="H78" s="278"/>
      <c r="I78" s="278"/>
      <c r="J78" s="291"/>
    </row>
    <row r="79" spans="1:10" ht="13.5" thickBot="1" x14ac:dyDescent="0.25">
      <c r="A79" s="178"/>
      <c r="B79" s="3" t="s">
        <v>319</v>
      </c>
      <c r="C79" s="26"/>
      <c r="D79" s="55" t="s">
        <v>250</v>
      </c>
      <c r="E79" s="55" t="s">
        <v>251</v>
      </c>
      <c r="F79" s="55" t="s">
        <v>252</v>
      </c>
      <c r="G79" s="55" t="s">
        <v>253</v>
      </c>
      <c r="H79" s="55" t="s">
        <v>253</v>
      </c>
      <c r="I79" s="68"/>
      <c r="J79" s="291"/>
    </row>
    <row r="80" spans="1:10" ht="13.5" customHeight="1" thickBot="1" x14ac:dyDescent="0.25">
      <c r="A80" s="178"/>
      <c r="B80" s="296" t="s">
        <v>320</v>
      </c>
      <c r="C80" s="60" t="s">
        <v>258</v>
      </c>
      <c r="D80" s="78" t="s">
        <v>278</v>
      </c>
      <c r="E80" s="77">
        <f>Milestones!E19</f>
        <v>0.25</v>
      </c>
      <c r="F80" s="77">
        <f>Milestones!F19</f>
        <v>0.25</v>
      </c>
      <c r="G80" s="77">
        <f>Milestones!F19</f>
        <v>0.25</v>
      </c>
      <c r="H80" s="77">
        <f>Milestones!G19</f>
        <v>0.25</v>
      </c>
      <c r="I80" s="69"/>
      <c r="J80" s="291"/>
    </row>
    <row r="81" spans="1:10" ht="13.5" customHeight="1" thickBot="1" x14ac:dyDescent="0.25">
      <c r="A81" s="178"/>
      <c r="B81" s="297"/>
      <c r="C81" s="12" t="s">
        <v>265</v>
      </c>
      <c r="D81" s="62"/>
      <c r="E81" s="81">
        <f>'Aggregate AR Results'!B18/'Aggregate AR Results'!B22</f>
        <v>0</v>
      </c>
      <c r="F81" s="81">
        <f>SUM('Aggregate AR Results'!B18:C18)/SUM('Aggregate AR Results'!B22:C22)</f>
        <v>0.12502878648597252</v>
      </c>
      <c r="G81" s="67"/>
      <c r="H81" s="67"/>
      <c r="I81" s="14"/>
      <c r="J81" s="291"/>
    </row>
    <row r="82" spans="1:10" ht="13.5" customHeight="1" thickBot="1" x14ac:dyDescent="0.25">
      <c r="A82" s="178"/>
      <c r="B82" s="297"/>
      <c r="C82" s="293" t="s">
        <v>7</v>
      </c>
      <c r="D82" s="294"/>
      <c r="E82" s="294"/>
      <c r="F82" s="294"/>
      <c r="G82" s="294"/>
      <c r="H82" s="294"/>
      <c r="I82" s="68"/>
      <c r="J82" s="291"/>
    </row>
    <row r="83" spans="1:10" ht="13.5" customHeight="1" thickBot="1" x14ac:dyDescent="0.25">
      <c r="A83" s="178"/>
      <c r="B83" s="298"/>
      <c r="C83" s="277" t="s">
        <v>279</v>
      </c>
      <c r="D83" s="278"/>
      <c r="E83" s="278"/>
      <c r="F83" s="278"/>
      <c r="G83" s="278"/>
      <c r="H83" s="278"/>
      <c r="I83" s="278"/>
      <c r="J83" s="291"/>
    </row>
    <row r="84" spans="1:10" ht="13.5" thickBot="1" x14ac:dyDescent="0.25">
      <c r="A84" s="178"/>
      <c r="B84" s="3" t="s">
        <v>321</v>
      </c>
      <c r="C84" s="26"/>
      <c r="D84" s="55" t="s">
        <v>250</v>
      </c>
      <c r="E84" s="55" t="s">
        <v>251</v>
      </c>
      <c r="F84" s="55" t="s">
        <v>252</v>
      </c>
      <c r="G84" s="55" t="s">
        <v>253</v>
      </c>
      <c r="H84" s="55" t="s">
        <v>253</v>
      </c>
      <c r="I84" s="68"/>
      <c r="J84" s="291"/>
    </row>
    <row r="85" spans="1:10" ht="13.5" customHeight="1" thickBot="1" x14ac:dyDescent="0.25">
      <c r="A85" s="178"/>
      <c r="B85" s="296" t="s">
        <v>322</v>
      </c>
      <c r="C85" s="60" t="s">
        <v>258</v>
      </c>
      <c r="D85" s="78" t="s">
        <v>278</v>
      </c>
      <c r="E85" s="77">
        <f>Milestones!E20</f>
        <v>0.2</v>
      </c>
      <c r="F85" s="77">
        <f>Milestones!F20</f>
        <v>0.2</v>
      </c>
      <c r="G85" s="77">
        <f>Milestones!F20</f>
        <v>0.2</v>
      </c>
      <c r="H85" s="77">
        <f>Milestones!G20</f>
        <v>0.2</v>
      </c>
      <c r="I85" s="69"/>
      <c r="J85" s="291"/>
    </row>
    <row r="86" spans="1:10" ht="13.5" customHeight="1" thickBot="1" x14ac:dyDescent="0.25">
      <c r="A86" s="178"/>
      <c r="B86" s="297"/>
      <c r="C86" s="12" t="s">
        <v>265</v>
      </c>
      <c r="D86" s="62"/>
      <c r="E86" s="81">
        <f>'Aggregate AR Results'!B19/'Aggregate AR Results'!B22</f>
        <v>0.4355243639127272</v>
      </c>
      <c r="F86" s="81">
        <f>SUM('Aggregate AR Results'!B19:C19)/SUM('Aggregate AR Results'!B22:C22)</f>
        <v>0.32681358665806776</v>
      </c>
      <c r="G86" s="67"/>
      <c r="H86" s="67"/>
      <c r="I86" s="14"/>
      <c r="J86" s="291"/>
    </row>
    <row r="87" spans="1:10" ht="13.5" customHeight="1" thickBot="1" x14ac:dyDescent="0.25">
      <c r="A87" s="178"/>
      <c r="B87" s="297"/>
      <c r="C87" s="293" t="s">
        <v>7</v>
      </c>
      <c r="D87" s="294"/>
      <c r="E87" s="294"/>
      <c r="F87" s="294"/>
      <c r="G87" s="294"/>
      <c r="H87" s="294"/>
      <c r="I87" s="68"/>
      <c r="J87" s="291"/>
    </row>
    <row r="88" spans="1:10" ht="13.5" customHeight="1" thickBot="1" x14ac:dyDescent="0.25">
      <c r="A88" s="179"/>
      <c r="B88" s="298"/>
      <c r="C88" s="277" t="s">
        <v>279</v>
      </c>
      <c r="D88" s="278"/>
      <c r="E88" s="278"/>
      <c r="F88" s="278"/>
      <c r="G88" s="278"/>
      <c r="H88" s="278"/>
      <c r="I88" s="278"/>
      <c r="J88" s="292"/>
    </row>
  </sheetData>
  <mergeCells count="59">
    <mergeCell ref="B1:J1"/>
    <mergeCell ref="A3:A6"/>
    <mergeCell ref="B3:B6"/>
    <mergeCell ref="J3:J6"/>
    <mergeCell ref="D5:I5"/>
    <mergeCell ref="D6:I6"/>
    <mergeCell ref="A8:A31"/>
    <mergeCell ref="B8:B11"/>
    <mergeCell ref="J8:J31"/>
    <mergeCell ref="D10:I10"/>
    <mergeCell ref="D11:I11"/>
    <mergeCell ref="B13:B16"/>
    <mergeCell ref="D15:I15"/>
    <mergeCell ref="D16:I16"/>
    <mergeCell ref="B18:B21"/>
    <mergeCell ref="D20:I20"/>
    <mergeCell ref="D21:I21"/>
    <mergeCell ref="B23:B26"/>
    <mergeCell ref="D25:I25"/>
    <mergeCell ref="D26:I26"/>
    <mergeCell ref="B28:B31"/>
    <mergeCell ref="D30:I30"/>
    <mergeCell ref="A38:A73"/>
    <mergeCell ref="B38:B41"/>
    <mergeCell ref="C40:I40"/>
    <mergeCell ref="C41:I41"/>
    <mergeCell ref="B43:B46"/>
    <mergeCell ref="C46:H46"/>
    <mergeCell ref="B58:B61"/>
    <mergeCell ref="C60:I60"/>
    <mergeCell ref="C61:I61"/>
    <mergeCell ref="B48:B51"/>
    <mergeCell ref="C51:H51"/>
    <mergeCell ref="B53:B56"/>
    <mergeCell ref="C55:I55"/>
    <mergeCell ref="C56:I56"/>
    <mergeCell ref="B70:B73"/>
    <mergeCell ref="B63:B68"/>
    <mergeCell ref="B85:B88"/>
    <mergeCell ref="C87:H87"/>
    <mergeCell ref="C88:I88"/>
    <mergeCell ref="C78:I78"/>
    <mergeCell ref="B80:B83"/>
    <mergeCell ref="C82:H82"/>
    <mergeCell ref="C83:I83"/>
    <mergeCell ref="B75:B78"/>
    <mergeCell ref="D8:H8"/>
    <mergeCell ref="D18:H18"/>
    <mergeCell ref="D23:H23"/>
    <mergeCell ref="D63:H63"/>
    <mergeCell ref="D31:I31"/>
    <mergeCell ref="I32:J32"/>
    <mergeCell ref="I33:J33"/>
    <mergeCell ref="D34:J35"/>
    <mergeCell ref="J38:J88"/>
    <mergeCell ref="C77:H77"/>
    <mergeCell ref="C68:I68"/>
    <mergeCell ref="C73:H73"/>
    <mergeCell ref="C67:H67"/>
  </mergeCells>
  <hyperlinks>
    <hyperlink ref="D6:I6" r:id="rId1" display="UN CBD National Reporting website" xr:uid="{08550457-BB65-4138-9D73-71EB5DDB5B0E}"/>
    <hyperlink ref="G6" r:id="rId2" display="UN CBD reporting website" xr:uid="{8F87D0CA-8BF7-43CD-B47D-8EA863391886}"/>
  </hyperlinks>
  <pageMargins left="0.74803149606299213" right="0.74803149606299213" top="0.98425196850393704" bottom="0.98425196850393704" header="0.51181102362204722" footer="0.51181102362204722"/>
  <pageSetup paperSize="8" scale="80" fitToHeight="0" orientation="landscape" r:id="rId3"/>
  <headerFooter alignWithMargins="0">
    <oddHeader>&amp;L&amp;"Calibri"&amp;10&amp;K000000OFFICIAL&amp;1#</oddHeader>
    <oddFooter>&amp;LUpdated January 2011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A4390-2C06-4E47-BF36-1318AF4A33F3}">
  <sheetPr filterMode="1">
    <tabColor theme="8" tint="0.59999389629810485"/>
  </sheetPr>
  <dimension ref="A1:H88"/>
  <sheetViews>
    <sheetView workbookViewId="0">
      <pane ySplit="1" topLeftCell="A41" activePane="bottomLeft" state="frozen"/>
      <selection pane="bottomLeft" activeCell="E101" sqref="E101"/>
    </sheetView>
  </sheetViews>
  <sheetFormatPr defaultRowHeight="12.75" x14ac:dyDescent="0.2"/>
  <cols>
    <col min="1" max="1" width="46.28515625" customWidth="1"/>
    <col min="2" max="2" width="12.7109375" style="88" customWidth="1"/>
    <col min="3" max="3" width="13.140625" style="84" customWidth="1"/>
    <col min="4" max="8" width="13.140625" customWidth="1"/>
  </cols>
  <sheetData>
    <row r="1" spans="1:8" s="1" customFormat="1" ht="25.5" x14ac:dyDescent="0.2">
      <c r="B1" s="125" t="s">
        <v>323</v>
      </c>
      <c r="C1" s="89" t="s">
        <v>324</v>
      </c>
      <c r="D1" s="1" t="s">
        <v>325</v>
      </c>
      <c r="E1" s="1" t="s">
        <v>326</v>
      </c>
      <c r="F1" s="1" t="s">
        <v>327</v>
      </c>
      <c r="G1" s="1" t="s">
        <v>328</v>
      </c>
      <c r="H1" s="1" t="s">
        <v>329</v>
      </c>
    </row>
    <row r="2" spans="1:8" x14ac:dyDescent="0.2">
      <c r="A2" s="129" t="s">
        <v>330</v>
      </c>
      <c r="B2" s="245"/>
      <c r="C2" s="220">
        <f>SUM(C3:C11)</f>
        <v>42094.709574322696</v>
      </c>
      <c r="D2" s="129" t="s">
        <v>331</v>
      </c>
      <c r="E2" s="130">
        <v>0</v>
      </c>
      <c r="F2" s="129" t="s">
        <v>331</v>
      </c>
      <c r="G2" s="130">
        <f>C2-H2</f>
        <v>20752.885313547453</v>
      </c>
      <c r="H2" s="130">
        <f>SUM(H3:H11)</f>
        <v>21341.824260775244</v>
      </c>
    </row>
    <row r="3" spans="1:8" x14ac:dyDescent="0.2">
      <c r="A3" s="131" t="s">
        <v>92</v>
      </c>
      <c r="B3" s="246" t="str">
        <f>VLOOKUP(A3,'Project Data'!$B$3:$AT$9,43,FALSE)</f>
        <v>Yes</v>
      </c>
      <c r="C3" s="221">
        <f>IF(B3="Yes",VLOOKUP(A3,'Project Data'!$B$3:$AT$28,41,FALSE)*Inputs!$C$3*'GBFF Pot'!$B$5,0)</f>
        <v>24665.198130204844</v>
      </c>
      <c r="D3" s="221"/>
      <c r="E3" s="131"/>
      <c r="F3" s="131"/>
      <c r="G3" s="132">
        <f>IFERROR(C3-H3,0)</f>
        <v>12128.154626766229</v>
      </c>
      <c r="H3" s="221">
        <f>IF(B3="Yes",VLOOKUP(A3,'Project Data'!$B$3:$AT$28,42,FALSE)*Inputs!$C$3*'GBFF Pot'!$B$5,0)</f>
        <v>12537.043503438616</v>
      </c>
    </row>
    <row r="4" spans="1:8" x14ac:dyDescent="0.2">
      <c r="A4" s="131" t="s">
        <v>96</v>
      </c>
      <c r="B4" s="246" t="str">
        <f>VLOOKUP(A4,'Project Data'!$B$3:$AT$9,43,FALSE)</f>
        <v>Yes</v>
      </c>
      <c r="C4" s="221">
        <f>IF(B4="Yes",VLOOKUP(A4,'Project Data'!$B$3:$AT$28,41,FALSE)*Inputs!$C$3*'GBFF Pot'!$B$5,0)</f>
        <v>663.1038672300665</v>
      </c>
      <c r="D4" s="221"/>
      <c r="E4" s="131"/>
      <c r="F4" s="131"/>
      <c r="G4" s="132">
        <f t="shared" ref="G4:G11" si="0">IFERROR(C4-H4,0)</f>
        <v>241.52689833732938</v>
      </c>
      <c r="H4" s="221">
        <f>IF(B4="Yes",VLOOKUP(A4,'Project Data'!$B$3:$AT$28,42,FALSE)*Inputs!$C$3*'GBFF Pot'!$B$5,0)</f>
        <v>421.57696889273711</v>
      </c>
    </row>
    <row r="5" spans="1:8" x14ac:dyDescent="0.2">
      <c r="A5" s="131" t="s">
        <v>98</v>
      </c>
      <c r="B5" s="246" t="str">
        <f>VLOOKUP(A5,'Project Data'!$B$3:$AT$9,43,FALSE)</f>
        <v>Yes</v>
      </c>
      <c r="C5" s="221">
        <f>IF(B5="Yes",VLOOKUP(A5,'Project Data'!$B$3:$AT$28,41,FALSE)*Inputs!$C$3*'GBFF Pot'!$B$5,0)</f>
        <v>9213.9717314428381</v>
      </c>
      <c r="D5" s="221"/>
      <c r="E5" s="131"/>
      <c r="F5" s="131"/>
      <c r="G5" s="132">
        <f t="shared" si="0"/>
        <v>4606.985865721419</v>
      </c>
      <c r="H5" s="221">
        <f>IF(B5="Yes",VLOOKUP(A5,'Project Data'!$B$3:$AT$28,42,FALSE)*Inputs!$C$3*'GBFF Pot'!$B$5,0)</f>
        <v>4606.985865721419</v>
      </c>
    </row>
    <row r="6" spans="1:8" x14ac:dyDescent="0.2">
      <c r="A6" s="131" t="s">
        <v>100</v>
      </c>
      <c r="B6" s="246" t="str">
        <f>VLOOKUP(A6,'Project Data'!$B$3:$AT$9,43,FALSE)</f>
        <v>No</v>
      </c>
      <c r="C6" s="221">
        <f>IF(B6="Yes",VLOOKUP(A6,'Project Data'!$B$3:$AT$28,41,FALSE)*Inputs!$C$3*'GBFF Pot'!$B$5,0)</f>
        <v>0</v>
      </c>
      <c r="D6" s="221"/>
      <c r="E6" s="131"/>
      <c r="F6" s="131"/>
      <c r="G6" s="132">
        <f t="shared" si="0"/>
        <v>0</v>
      </c>
      <c r="H6" s="221">
        <f>IF(B6="Yes",VLOOKUP(A6,'Project Data'!$B$3:$AT$28,42,FALSE)*Inputs!$C$3*'GBFF Pot'!$B$5,0)</f>
        <v>0</v>
      </c>
    </row>
    <row r="7" spans="1:8" x14ac:dyDescent="0.2">
      <c r="A7" s="131" t="s">
        <v>102</v>
      </c>
      <c r="B7" s="246" t="str">
        <f>VLOOKUP(A7,'Project Data'!$B$3:$AT$9,43,FALSE)</f>
        <v>Yes</v>
      </c>
      <c r="C7" s="221">
        <f>IF(B7="Yes",VLOOKUP(A7,'Project Data'!$B$3:$AT$28,41,FALSE)*Inputs!$C$3*'GBFF Pot'!$B$5,0)</f>
        <v>7552.4358454449493</v>
      </c>
      <c r="D7" s="221"/>
      <c r="E7" s="131"/>
      <c r="F7" s="131"/>
      <c r="G7" s="132">
        <f t="shared" si="0"/>
        <v>3776.2179227224747</v>
      </c>
      <c r="H7" s="221">
        <f>IF(B7="Yes",VLOOKUP(A7,'Project Data'!$B$3:$AT$28,42,FALSE)*Inputs!$C$3*'GBFF Pot'!$B$5,0)</f>
        <v>3776.2179227224747</v>
      </c>
    </row>
    <row r="8" spans="1:8" x14ac:dyDescent="0.2">
      <c r="A8" s="131" t="s">
        <v>104</v>
      </c>
      <c r="B8" s="246" t="str">
        <f>VLOOKUP(A8,'Project Data'!$B$3:$AT$9,43,FALSE)</f>
        <v>No</v>
      </c>
      <c r="C8" s="221">
        <f>IF(B8="Yes",VLOOKUP(A8,'Project Data'!$B$3:$AT$28,41,FALSE)*Inputs!$C$3*'GBFF Pot'!$B$5,0)</f>
        <v>0</v>
      </c>
      <c r="D8" s="221"/>
      <c r="E8" s="131"/>
      <c r="F8" s="131"/>
      <c r="G8" s="132">
        <f t="shared" si="0"/>
        <v>0</v>
      </c>
      <c r="H8" s="221">
        <f>IF(B8="Yes",VLOOKUP(A8,'Project Data'!$B$3:$AT$28,42,FALSE)*Inputs!$C$3*'GBFF Pot'!$B$5,0)</f>
        <v>0</v>
      </c>
    </row>
    <row r="9" spans="1:8" x14ac:dyDescent="0.2">
      <c r="A9" s="131" t="s">
        <v>332</v>
      </c>
      <c r="B9" s="246" t="str">
        <f>VLOOKUP("Cameroon, CAR, Congo",'Project Data'!$B$3:$AT$9,43,FALSE)</f>
        <v>No</v>
      </c>
      <c r="C9" s="221">
        <f>IF(B9="Yes",VLOOKUP("Cameroon, CAR, Congo",'Project Data'!$B$3:$AT$28,41,FALSE)*Inputs!$C$3*'GBFF Pot'!$B$5,0)</f>
        <v>0</v>
      </c>
      <c r="D9" s="221"/>
      <c r="E9" s="131"/>
      <c r="F9" s="131"/>
      <c r="G9" s="132">
        <f t="shared" si="0"/>
        <v>0</v>
      </c>
      <c r="H9" s="221">
        <f>IF(B9="Yes",VLOOKUP(A9,'Project Data'!$B$3:$AT$28,42,FALSE)*Inputs!$C$3*'GBFF Pot'!$B$5,0)</f>
        <v>0</v>
      </c>
    </row>
    <row r="10" spans="1:8" x14ac:dyDescent="0.2">
      <c r="A10" s="131" t="s">
        <v>333</v>
      </c>
      <c r="B10" s="246" t="str">
        <f>VLOOKUP("Cameroon, CAR, Congo",'Project Data'!$B$3:$AT$9,43,FALSE)</f>
        <v>No</v>
      </c>
      <c r="C10" s="221">
        <f>IF(B10="Yes",VLOOKUP("Cameroon, CAR, Congo",'Project Data'!$B$3:$AT$28,41,FALSE)*Inputs!$C$3*'GBFF Pot'!$B$5,0)</f>
        <v>0</v>
      </c>
      <c r="D10" s="221"/>
      <c r="E10" s="131"/>
      <c r="F10" s="131"/>
      <c r="G10" s="132">
        <f t="shared" si="0"/>
        <v>0</v>
      </c>
      <c r="H10" s="221">
        <f>IF(B10="Yes",VLOOKUP(A10,'Project Data'!$B$3:$AT$28,42,FALSE)*Inputs!$C$3*'GBFF Pot'!$B$5,0)</f>
        <v>0</v>
      </c>
    </row>
    <row r="11" spans="1:8" x14ac:dyDescent="0.2">
      <c r="A11" s="131" t="s">
        <v>334</v>
      </c>
      <c r="B11" s="246" t="str">
        <f>VLOOKUP("Cameroon, CAR, Congo",'Project Data'!$B$3:$AT$9,43,FALSE)</f>
        <v>No</v>
      </c>
      <c r="C11" s="221">
        <f>IF(B11="Yes",VLOOKUP("Cameroon, CAR, Congo",'Project Data'!$B$3:$AT$28,41,FALSE)*Inputs!$C$3*'GBFF Pot'!$B$5,0)</f>
        <v>0</v>
      </c>
      <c r="D11" s="221"/>
      <c r="E11" s="131"/>
      <c r="F11" s="131"/>
      <c r="G11" s="132">
        <f t="shared" si="0"/>
        <v>0</v>
      </c>
      <c r="H11" s="221">
        <f>IF(B11="Yes",VLOOKUP(A11,'Project Data'!$B$3:$AT$28,42,FALSE)*Inputs!$C$3*'GBFF Pot'!$B$5,0)</f>
        <v>0</v>
      </c>
    </row>
    <row r="13" spans="1:8" x14ac:dyDescent="0.2">
      <c r="A13" s="133" t="s">
        <v>335</v>
      </c>
      <c r="B13" s="215"/>
      <c r="C13" s="134">
        <f>SUM(C14:C22)</f>
        <v>10613837.383334501</v>
      </c>
      <c r="D13" s="134">
        <f>Milestones!F4-Milestones!E4</f>
        <v>6188137.5600000015</v>
      </c>
      <c r="E13" s="134">
        <v>0</v>
      </c>
      <c r="F13" s="134">
        <f>Milestones!E4</f>
        <v>6188137.5600000015</v>
      </c>
      <c r="G13" s="134"/>
      <c r="H13" s="134"/>
    </row>
    <row r="14" spans="1:8" x14ac:dyDescent="0.2">
      <c r="A14" s="135" t="s">
        <v>92</v>
      </c>
      <c r="B14" s="242"/>
      <c r="C14" s="136">
        <f>VLOOKUP(A14,'Project Data'!$B$3:$AT$28,33,FALSE)*Inputs!$C$3*'GBFF Pot'!$B$5</f>
        <v>860977.68638072419</v>
      </c>
      <c r="D14" s="135"/>
      <c r="E14" s="135"/>
      <c r="F14" s="135"/>
      <c r="G14" s="135"/>
      <c r="H14" s="135"/>
    </row>
    <row r="15" spans="1:8" x14ac:dyDescent="0.2">
      <c r="A15" s="135" t="s">
        <v>96</v>
      </c>
      <c r="B15" s="242"/>
      <c r="C15" s="136">
        <f>VLOOKUP(A15,'Project Data'!$B$3:$AT$28,33,FALSE)*Inputs!$C$3*'GBFF Pot'!$B$5</f>
        <v>7376861.8694896251</v>
      </c>
      <c r="D15" s="135"/>
      <c r="E15" s="135"/>
      <c r="F15" s="135"/>
      <c r="G15" s="135"/>
      <c r="H15" s="135"/>
    </row>
    <row r="16" spans="1:8" x14ac:dyDescent="0.2">
      <c r="A16" s="135" t="s">
        <v>98</v>
      </c>
      <c r="B16" s="242"/>
      <c r="C16" s="257">
        <f>VLOOKUP(A16,'Project Data'!$B$3:$AT$28,33,FALSE)*Inputs!$C$3*'GBFF Pot'!$B$5</f>
        <v>0</v>
      </c>
      <c r="D16" s="135"/>
      <c r="E16" s="135"/>
      <c r="F16" s="135"/>
      <c r="G16" s="135"/>
      <c r="H16" s="135"/>
    </row>
    <row r="17" spans="1:8" x14ac:dyDescent="0.2">
      <c r="A17" s="135" t="s">
        <v>100</v>
      </c>
      <c r="B17" s="242"/>
      <c r="C17" s="257">
        <f>VLOOKUP(A17,'Project Data'!$B$3:$AT$28,33,FALSE)*Inputs!$C$3*'GBFF Pot'!$B$5</f>
        <v>0</v>
      </c>
      <c r="D17" s="135"/>
      <c r="E17" s="135"/>
      <c r="F17" s="135"/>
      <c r="G17" s="135"/>
      <c r="H17" s="135"/>
    </row>
    <row r="18" spans="1:8" x14ac:dyDescent="0.2">
      <c r="A18" s="135" t="s">
        <v>102</v>
      </c>
      <c r="B18" s="242"/>
      <c r="C18" s="136">
        <f>VLOOKUP(A18,'Project Data'!$B$3:$AT$28,33,FALSE)*Inputs!$C$3*'GBFF Pot'!$B$5</f>
        <v>1301571.9908297255</v>
      </c>
      <c r="D18" s="135"/>
      <c r="E18" s="135"/>
      <c r="F18" s="135"/>
      <c r="G18" s="135"/>
      <c r="H18" s="135"/>
    </row>
    <row r="19" spans="1:8" x14ac:dyDescent="0.2">
      <c r="A19" s="135" t="s">
        <v>104</v>
      </c>
      <c r="B19" s="242"/>
      <c r="C19" s="136">
        <f>VLOOKUP(A19,'Project Data'!$B$3:$AT$28,33,FALSE)*Inputs!$C$3*'GBFF Pot'!$B$5</f>
        <v>52537.915763970152</v>
      </c>
      <c r="D19" s="135"/>
      <c r="E19" s="135"/>
      <c r="F19" s="135"/>
      <c r="G19" s="135"/>
      <c r="H19" s="135"/>
    </row>
    <row r="20" spans="1:8" x14ac:dyDescent="0.2">
      <c r="A20" s="135" t="s">
        <v>332</v>
      </c>
      <c r="B20" s="242"/>
      <c r="C20" s="136">
        <f>(VLOOKUP("Cameroon, CAR, Congo",'Project Data'!$B$3:$AT$28,33,FALSE)*Inputs!$C$3*'GBFF Pot'!$B$5)/3</f>
        <v>340629.30695681821</v>
      </c>
      <c r="D20" s="135"/>
      <c r="E20" s="135"/>
      <c r="F20" s="135"/>
      <c r="G20" s="135"/>
      <c r="H20" s="135"/>
    </row>
    <row r="21" spans="1:8" x14ac:dyDescent="0.2">
      <c r="A21" s="135" t="s">
        <v>333</v>
      </c>
      <c r="B21" s="242"/>
      <c r="C21" s="136">
        <f>(VLOOKUP("Cameroon, CAR, Congo",'Project Data'!$B$3:$AT$28,33,FALSE)*Inputs!$C$3*'GBFF Pot'!$B$5)/3</f>
        <v>340629.30695681821</v>
      </c>
      <c r="D21" s="135"/>
      <c r="E21" s="135"/>
      <c r="F21" s="135"/>
      <c r="G21" s="135"/>
      <c r="H21" s="135"/>
    </row>
    <row r="22" spans="1:8" x14ac:dyDescent="0.2">
      <c r="A22" s="135" t="s">
        <v>334</v>
      </c>
      <c r="B22" s="242"/>
      <c r="C22" s="136">
        <f>(VLOOKUP("Cameroon, CAR, Congo",'Project Data'!$B$3:$AT$28,33,FALSE)*Inputs!$C$3*'GBFF Pot'!$B$5)/3</f>
        <v>340629.30695681821</v>
      </c>
      <c r="D22" s="135"/>
      <c r="E22" s="135"/>
      <c r="F22" s="135"/>
      <c r="G22" s="135"/>
      <c r="H22" s="135"/>
    </row>
    <row r="24" spans="1:8" x14ac:dyDescent="0.2">
      <c r="A24" s="137" t="s">
        <v>336</v>
      </c>
      <c r="B24" s="247"/>
      <c r="C24" s="255">
        <f>SUM(C25:C33)</f>
        <v>9536908.2261329126</v>
      </c>
      <c r="D24" s="137" t="s">
        <v>331</v>
      </c>
      <c r="E24" s="138">
        <v>0</v>
      </c>
      <c r="F24" s="137" t="s">
        <v>331</v>
      </c>
      <c r="G24" s="137"/>
      <c r="H24" s="137"/>
    </row>
    <row r="25" spans="1:8" x14ac:dyDescent="0.2">
      <c r="A25" s="140" t="s">
        <v>92</v>
      </c>
      <c r="B25" s="248" t="str">
        <f>VLOOKUP(A25,'Project Data'!$B$3:$AT$9,43,FALSE)</f>
        <v>Yes</v>
      </c>
      <c r="C25" s="222">
        <f>IF(B25="Yes",VLOOKUP(A25,'Project Data'!$B$3:$AT$28,12,FALSE)*Inputs!$C$5*'GBFF Pot'!$B$5*Inputs!$C$8,0)</f>
        <v>7565779.1137406211</v>
      </c>
      <c r="D25" s="140"/>
      <c r="E25" s="140"/>
      <c r="F25" s="140"/>
      <c r="G25" s="140"/>
      <c r="H25" s="140"/>
    </row>
    <row r="26" spans="1:8" x14ac:dyDescent="0.2">
      <c r="A26" s="140" t="s">
        <v>96</v>
      </c>
      <c r="B26" s="248" t="str">
        <f>VLOOKUP(A26,'Project Data'!$B$3:$AT$9,43,FALSE)</f>
        <v>Yes</v>
      </c>
      <c r="C26" s="222">
        <f>IF(B26="Yes",VLOOKUP(A26,'Project Data'!$B$3:$AT$28,12,FALSE)*Inputs!$C$5*'GBFF Pot'!$B$5*Inputs!$C$8,0)</f>
        <v>0</v>
      </c>
      <c r="D26" s="140"/>
      <c r="E26" s="140"/>
      <c r="F26" s="140"/>
      <c r="G26" s="140"/>
      <c r="H26" s="140"/>
    </row>
    <row r="27" spans="1:8" x14ac:dyDescent="0.2">
      <c r="A27" s="140" t="s">
        <v>98</v>
      </c>
      <c r="B27" s="248" t="str">
        <f>VLOOKUP(A27,'Project Data'!$B$3:$AT$9,43,FALSE)</f>
        <v>Yes</v>
      </c>
      <c r="C27" s="222">
        <f>IF(B27="Yes",VLOOKUP(A27,'Project Data'!$B$3:$AT$28,12,FALSE)*Inputs!$C$5*'GBFF Pot'!$B$5*Inputs!$C$8,0)</f>
        <v>1085228.3877215984</v>
      </c>
      <c r="D27" s="140"/>
      <c r="E27" s="140"/>
      <c r="F27" s="140"/>
      <c r="G27" s="140"/>
      <c r="H27" s="140"/>
    </row>
    <row r="28" spans="1:8" x14ac:dyDescent="0.2">
      <c r="A28" s="140" t="s">
        <v>100</v>
      </c>
      <c r="B28" s="248" t="str">
        <f>VLOOKUP(A28,'Project Data'!$B$3:$AT$9,43,FALSE)</f>
        <v>No</v>
      </c>
      <c r="C28" s="222">
        <f>IF(B28="Yes",VLOOKUP(A28,'Project Data'!$B$3:$AT$28,12,FALSE)*Inputs!$C$5*'GBFF Pot'!$B$5*Inputs!$C$8,0)</f>
        <v>0</v>
      </c>
      <c r="D28" s="140"/>
      <c r="E28" s="140"/>
      <c r="F28" s="140"/>
      <c r="G28" s="140"/>
      <c r="H28" s="140"/>
    </row>
    <row r="29" spans="1:8" x14ac:dyDescent="0.2">
      <c r="A29" s="140" t="s">
        <v>102</v>
      </c>
      <c r="B29" s="248" t="str">
        <f>VLOOKUP(A29,'Project Data'!$B$3:$AT$9,43,FALSE)</f>
        <v>Yes</v>
      </c>
      <c r="C29" s="222">
        <f>IF(B29="Yes",VLOOKUP(A29,'Project Data'!$B$3:$AT$28,12,FALSE)*Inputs!$C$5*'GBFF Pot'!$B$5*Inputs!$C$8,0)</f>
        <v>885900.72467069258</v>
      </c>
      <c r="D29" s="140"/>
      <c r="E29" s="140"/>
      <c r="F29" s="140"/>
      <c r="G29" s="140"/>
      <c r="H29" s="140"/>
    </row>
    <row r="30" spans="1:8" x14ac:dyDescent="0.2">
      <c r="A30" s="140" t="s">
        <v>104</v>
      </c>
      <c r="B30" s="248" t="str">
        <f>VLOOKUP(A30,'Project Data'!$B$3:$AT$9,43,FALSE)</f>
        <v>No</v>
      </c>
      <c r="C30" s="222">
        <f>IF(B30="Yes",VLOOKUP(A30,'Project Data'!$B$3:$AT$28,12,FALSE)*Inputs!$C$5*'GBFF Pot'!$B$5*Inputs!$C$8,0)</f>
        <v>0</v>
      </c>
      <c r="D30" s="140"/>
      <c r="E30" s="140"/>
      <c r="F30" s="140"/>
      <c r="G30" s="140"/>
      <c r="H30" s="140"/>
    </row>
    <row r="31" spans="1:8" x14ac:dyDescent="0.2">
      <c r="A31" s="140" t="s">
        <v>332</v>
      </c>
      <c r="B31" s="248" t="str">
        <f>VLOOKUP("Cameroon, CAR, Congo",'Project Data'!$B$3:$AT$9,43,FALSE)</f>
        <v>No</v>
      </c>
      <c r="C31" s="222">
        <f>IF(B31="Yes",(VLOOKUP("Cameroon, CAR, Congo",'Project Data'!$B$3:$AT$28,12,FALSE)*Inputs!$C$3*'GBFF Pot'!$B$5)/3,0)</f>
        <v>0</v>
      </c>
      <c r="D31" s="140"/>
      <c r="E31" s="140"/>
      <c r="F31" s="140"/>
      <c r="G31" s="140"/>
      <c r="H31" s="140"/>
    </row>
    <row r="32" spans="1:8" x14ac:dyDescent="0.2">
      <c r="A32" s="140" t="s">
        <v>333</v>
      </c>
      <c r="B32" s="248" t="str">
        <f>VLOOKUP("Cameroon, CAR, Congo",'Project Data'!$B$3:$AT$9,43,FALSE)</f>
        <v>No</v>
      </c>
      <c r="C32" s="222">
        <f>IF(B32="Yes",(VLOOKUP("Cameroon, CAR, Congo",'Project Data'!$B$3:$AT$28,12,FALSE)*Inputs!$C$3*'GBFF Pot'!$B$5)/3,0)</f>
        <v>0</v>
      </c>
      <c r="D32" s="140"/>
      <c r="E32" s="140"/>
      <c r="F32" s="140"/>
      <c r="G32" s="140"/>
      <c r="H32" s="140"/>
    </row>
    <row r="33" spans="1:8" x14ac:dyDescent="0.2">
      <c r="A33" s="140" t="s">
        <v>334</v>
      </c>
      <c r="B33" s="248" t="str">
        <f>VLOOKUP("Cameroon, CAR, Congo",'Project Data'!$B$3:$AT$9,43,FALSE)</f>
        <v>No</v>
      </c>
      <c r="C33" s="222">
        <f>IF(B33="Yes",(VLOOKUP("Cameroon, CAR, Congo",'Project Data'!$B$3:$AT$28,12,FALSE)*Inputs!$C$3*'GBFF Pot'!$B$5)/3,0)</f>
        <v>0</v>
      </c>
      <c r="D33" s="140"/>
      <c r="E33" s="140"/>
      <c r="F33" s="140"/>
      <c r="G33" s="140"/>
      <c r="H33" s="140"/>
    </row>
    <row r="35" spans="1:8" x14ac:dyDescent="0.2">
      <c r="A35" s="139" t="s">
        <v>337</v>
      </c>
      <c r="B35" s="249"/>
      <c r="C35" s="254">
        <f>SUM(C36:C44)</f>
        <v>1200912.257351513</v>
      </c>
      <c r="D35" s="139" t="s">
        <v>331</v>
      </c>
      <c r="E35" s="98">
        <v>0</v>
      </c>
      <c r="F35" s="139" t="s">
        <v>331</v>
      </c>
      <c r="G35" s="139"/>
      <c r="H35" s="139"/>
    </row>
    <row r="36" spans="1:8" x14ac:dyDescent="0.2">
      <c r="A36" s="141" t="s">
        <v>92</v>
      </c>
      <c r="B36" s="238" t="str">
        <f>VLOOKUP(A36,'Project Data'!$B$3:$AT$9,43,FALSE)</f>
        <v>Yes</v>
      </c>
      <c r="C36" s="253">
        <f>IF(B36="Yes",VLOOKUP(A36,'Project Data'!$B$3:$AT$28,11,FALSE)*Inputs!$C$5*'GBFF Pot'!$B$5*Inputs!$C$8,0)</f>
        <v>964672.064105995</v>
      </c>
      <c r="D36" s="141"/>
      <c r="E36" s="141"/>
      <c r="F36" s="141"/>
      <c r="G36" s="141"/>
      <c r="H36" s="141"/>
    </row>
    <row r="37" spans="1:8" x14ac:dyDescent="0.2">
      <c r="A37" s="141" t="s">
        <v>96</v>
      </c>
      <c r="B37" s="238" t="str">
        <f>VLOOKUP(A37,'Project Data'!$B$3:$AT$9,43,FALSE)</f>
        <v>Yes</v>
      </c>
      <c r="C37" s="253">
        <f>IF(B37="Yes",VLOOKUP(A37,'Project Data'!$B$3:$AT$28,11,FALSE)*Inputs!$C$5*'GBFF Pot'!$B$5*Inputs!$C$8,0)</f>
        <v>0</v>
      </c>
      <c r="D37" s="141"/>
      <c r="E37" s="141"/>
      <c r="F37" s="141"/>
      <c r="G37" s="141"/>
      <c r="H37" s="141"/>
    </row>
    <row r="38" spans="1:8" x14ac:dyDescent="0.2">
      <c r="A38" s="141" t="s">
        <v>98</v>
      </c>
      <c r="B38" s="238" t="str">
        <f>VLOOKUP(A38,'Project Data'!$B$3:$AT$9,43,FALSE)</f>
        <v>Yes</v>
      </c>
      <c r="C38" s="253">
        <f>IF(B38="Yes",VLOOKUP(A38,'Project Data'!$B$3:$AT$28,11,FALSE)*Inputs!$C$5*'GBFF Pot'!$B$5*Inputs!$C$8,0)</f>
        <v>236240.19324551802</v>
      </c>
      <c r="D38" s="141"/>
      <c r="E38" s="141"/>
      <c r="F38" s="141"/>
      <c r="G38" s="141"/>
      <c r="H38" s="141"/>
    </row>
    <row r="39" spans="1:8" x14ac:dyDescent="0.2">
      <c r="A39" s="141" t="s">
        <v>100</v>
      </c>
      <c r="B39" s="238" t="str">
        <f>VLOOKUP(A39,'Project Data'!$B$3:$AT$9,43,FALSE)</f>
        <v>No</v>
      </c>
      <c r="C39" s="253">
        <f>IF(B39="Yes",VLOOKUP(A39,'Project Data'!$B$3:$AT$28,11,FALSE)*Inputs!$C$5*'GBFF Pot'!$B$5*Inputs!$C$8,0)</f>
        <v>0</v>
      </c>
      <c r="D39" s="141"/>
      <c r="E39" s="141"/>
      <c r="F39" s="141"/>
      <c r="G39" s="141"/>
      <c r="H39" s="141"/>
    </row>
    <row r="40" spans="1:8" x14ac:dyDescent="0.2">
      <c r="A40" s="141" t="s">
        <v>102</v>
      </c>
      <c r="B40" s="238" t="str">
        <f>VLOOKUP(A40,'Project Data'!$B$3:$AT$9,43,FALSE)</f>
        <v>Yes</v>
      </c>
      <c r="C40" s="253">
        <f>IF(B40="Yes",VLOOKUP(A40,'Project Data'!$B$3:$AT$28,11,FALSE)*Inputs!$C$5*'GBFF Pot'!$B$5*Inputs!$C$8,0)</f>
        <v>0</v>
      </c>
      <c r="D40" s="141"/>
      <c r="E40" s="141"/>
      <c r="F40" s="141"/>
      <c r="G40" s="141"/>
      <c r="H40" s="141"/>
    </row>
    <row r="41" spans="1:8" x14ac:dyDescent="0.2">
      <c r="A41" s="141" t="s">
        <v>104</v>
      </c>
      <c r="B41" s="238" t="str">
        <f>VLOOKUP(A41,'Project Data'!$B$3:$AT$9,43,FALSE)</f>
        <v>No</v>
      </c>
      <c r="C41" s="253">
        <f>IF(B41="Yes",VLOOKUP(A41,'Project Data'!$B$3:$AT$28,11,FALSE)*Inputs!$C$5*'GBFF Pot'!$B$5*Inputs!$C$8,0)</f>
        <v>0</v>
      </c>
      <c r="D41" s="141"/>
      <c r="E41" s="141"/>
      <c r="F41" s="141"/>
      <c r="G41" s="141"/>
      <c r="H41" s="141"/>
    </row>
    <row r="42" spans="1:8" x14ac:dyDescent="0.2">
      <c r="A42" s="141" t="s">
        <v>332</v>
      </c>
      <c r="B42" s="238" t="str">
        <f>VLOOKUP("Cameroon, CAR, Congo",'Project Data'!$B$3:$AT$9,43,FALSE)</f>
        <v>No</v>
      </c>
      <c r="C42" s="253">
        <f>IF(B42="Yes",(VLOOKUP("Cameroon, CAR, Congo",'Project Data'!$B$3:$AT$28,11,FALSE)*Inputs!$C$3*'GBFF Pot'!$B$5)/3,0)</f>
        <v>0</v>
      </c>
      <c r="D42" s="141"/>
      <c r="E42" s="141"/>
      <c r="F42" s="141"/>
      <c r="G42" s="141"/>
      <c r="H42" s="141"/>
    </row>
    <row r="43" spans="1:8" x14ac:dyDescent="0.2">
      <c r="A43" s="141" t="s">
        <v>333</v>
      </c>
      <c r="B43" s="238" t="str">
        <f>VLOOKUP("Cameroon, CAR, Congo",'Project Data'!$B$3:$AT$9,43,FALSE)</f>
        <v>No</v>
      </c>
      <c r="C43" s="253">
        <f>IF(B43="Yes",(VLOOKUP("Cameroon, CAR, Congo",'Project Data'!$B$3:$AT$28,11,FALSE)*Inputs!$C$3*'GBFF Pot'!$B$5)/3,0)</f>
        <v>0</v>
      </c>
      <c r="D43" s="141"/>
      <c r="E43" s="141"/>
      <c r="F43" s="141"/>
      <c r="G43" s="141"/>
      <c r="H43" s="141"/>
    </row>
    <row r="44" spans="1:8" x14ac:dyDescent="0.2">
      <c r="A44" s="141" t="s">
        <v>334</v>
      </c>
      <c r="B44" s="238" t="str">
        <f>VLOOKUP("Cameroon, CAR, Congo",'Project Data'!$B$3:$AT$9,43,FALSE)</f>
        <v>No</v>
      </c>
      <c r="C44" s="253">
        <f>IF(B44="Yes",(VLOOKUP("Cameroon, CAR, Congo",'Project Data'!$B$3:$AT$28,11,FALSE)*Inputs!$C$3*'GBFF Pot'!$B$5)/3,0)</f>
        <v>0</v>
      </c>
      <c r="D44" s="141"/>
      <c r="E44" s="141"/>
      <c r="F44" s="141"/>
      <c r="G44" s="141"/>
      <c r="H44" s="141"/>
    </row>
    <row r="46" spans="1:8" x14ac:dyDescent="0.2">
      <c r="A46" s="142" t="s">
        <v>338</v>
      </c>
      <c r="B46" s="250"/>
      <c r="C46" s="96">
        <f>SUM(C47:C55)</f>
        <v>5345665.71147417</v>
      </c>
      <c r="D46" s="96">
        <f>Milestones!E7</f>
        <v>3461775.0200000005</v>
      </c>
      <c r="E46" s="96">
        <v>0</v>
      </c>
      <c r="F46" s="96">
        <f>Milestones!E7</f>
        <v>3461775.0200000005</v>
      </c>
      <c r="G46" s="96"/>
      <c r="H46" s="96"/>
    </row>
    <row r="47" spans="1:8" x14ac:dyDescent="0.2">
      <c r="A47" s="143" t="s">
        <v>92</v>
      </c>
      <c r="B47" s="239" t="s">
        <v>93</v>
      </c>
      <c r="C47" s="97">
        <f>VLOOKUP(A47,'Project Data'!$B$3:$AT$28,45,FALSE)*Inputs!$C$3*Inputs!$C$4*'GBFF Pot'!$B$5</f>
        <v>3717582.5464437213</v>
      </c>
      <c r="D47" s="143"/>
      <c r="E47" s="143"/>
      <c r="F47" s="143"/>
      <c r="G47" s="143"/>
      <c r="H47" s="143"/>
    </row>
    <row r="48" spans="1:8" x14ac:dyDescent="0.2">
      <c r="A48" s="143" t="s">
        <v>96</v>
      </c>
      <c r="B48" s="239" t="s">
        <v>93</v>
      </c>
      <c r="C48" s="97">
        <f>VLOOKUP(A48,'Project Data'!$B$3:$AT$28,45,FALSE)*Inputs!$C$3*Inputs!$C$4*'GBFF Pot'!$B$5</f>
        <v>657474.319917246</v>
      </c>
      <c r="D48" s="143"/>
      <c r="E48" s="143"/>
      <c r="F48" s="143"/>
      <c r="G48" s="143"/>
      <c r="H48" s="143"/>
    </row>
    <row r="49" spans="1:8" x14ac:dyDescent="0.2">
      <c r="A49" s="143" t="s">
        <v>98</v>
      </c>
      <c r="B49" s="239" t="s">
        <v>93</v>
      </c>
      <c r="C49" s="97">
        <f>VLOOKUP(A49,'Project Data'!$B$3:$AT$28,45,FALSE)*Inputs!$C$3*Inputs!$C$4*'GBFF Pot'!$B$5</f>
        <v>918376.19880610576</v>
      </c>
      <c r="D49" s="143"/>
      <c r="E49" s="143"/>
      <c r="F49" s="143"/>
      <c r="G49" s="143"/>
      <c r="H49" s="143"/>
    </row>
    <row r="50" spans="1:8" x14ac:dyDescent="0.2">
      <c r="A50" s="143" t="s">
        <v>100</v>
      </c>
      <c r="B50" s="239" t="s">
        <v>94</v>
      </c>
      <c r="C50" s="97"/>
      <c r="D50" s="143"/>
      <c r="E50" s="143"/>
      <c r="F50" s="143"/>
      <c r="G50" s="143"/>
      <c r="H50" s="143"/>
    </row>
    <row r="51" spans="1:8" x14ac:dyDescent="0.2">
      <c r="A51" s="143" t="s">
        <v>102</v>
      </c>
      <c r="B51" s="239" t="s">
        <v>93</v>
      </c>
      <c r="C51" s="97">
        <f>VLOOKUP(A51,'Project Data'!$B$3:$AT$28,45,FALSE)*Inputs!$C$3*Inputs!$C$4*'GBFF Pot'!$B$5</f>
        <v>52232.646307097268</v>
      </c>
      <c r="D51" s="143"/>
      <c r="E51" s="143"/>
      <c r="F51" s="143"/>
      <c r="G51" s="143"/>
      <c r="H51" s="143"/>
    </row>
    <row r="52" spans="1:8" x14ac:dyDescent="0.2">
      <c r="A52" s="143" t="s">
        <v>104</v>
      </c>
      <c r="B52" s="239" t="s">
        <v>94</v>
      </c>
      <c r="C52" s="97"/>
      <c r="D52" s="143"/>
      <c r="E52" s="143"/>
      <c r="F52" s="143"/>
      <c r="G52" s="143"/>
      <c r="H52" s="143"/>
    </row>
    <row r="53" spans="1:8" x14ac:dyDescent="0.2">
      <c r="A53" s="143" t="s">
        <v>332</v>
      </c>
      <c r="B53" s="239" t="s">
        <v>94</v>
      </c>
      <c r="C53" s="97"/>
      <c r="D53" s="143"/>
      <c r="E53" s="143"/>
      <c r="F53" s="143"/>
      <c r="G53" s="143"/>
      <c r="H53" s="143"/>
    </row>
    <row r="54" spans="1:8" ht="14.25" customHeight="1" x14ac:dyDescent="0.2">
      <c r="A54" s="143" t="s">
        <v>333</v>
      </c>
      <c r="B54" s="239" t="s">
        <v>94</v>
      </c>
      <c r="C54" s="97"/>
      <c r="D54" s="143"/>
      <c r="E54" s="143"/>
      <c r="F54" s="143"/>
      <c r="G54" s="143"/>
      <c r="H54" s="143"/>
    </row>
    <row r="55" spans="1:8" x14ac:dyDescent="0.2">
      <c r="A55" s="143" t="s">
        <v>334</v>
      </c>
      <c r="B55" s="239" t="s">
        <v>94</v>
      </c>
      <c r="C55" s="97"/>
      <c r="D55" s="143"/>
      <c r="E55" s="143"/>
      <c r="F55" s="143"/>
      <c r="G55" s="143"/>
      <c r="H55" s="143"/>
    </row>
    <row r="57" spans="1:8" x14ac:dyDescent="0.2">
      <c r="A57" s="144" t="s">
        <v>339</v>
      </c>
      <c r="B57" s="251"/>
      <c r="C57" s="120">
        <v>8</v>
      </c>
      <c r="D57" s="144" t="s">
        <v>331</v>
      </c>
      <c r="E57" s="144">
        <v>8</v>
      </c>
      <c r="F57" s="144" t="s">
        <v>331</v>
      </c>
      <c r="G57" s="144"/>
      <c r="H57" s="144"/>
    </row>
    <row r="58" spans="1:8" x14ac:dyDescent="0.2">
      <c r="A58" s="145" t="s">
        <v>92</v>
      </c>
      <c r="B58" s="240"/>
      <c r="C58" s="146"/>
      <c r="D58" s="145"/>
      <c r="E58" s="145"/>
      <c r="F58" s="145"/>
      <c r="G58" s="145"/>
      <c r="H58" s="145"/>
    </row>
    <row r="59" spans="1:8" x14ac:dyDescent="0.2">
      <c r="A59" s="145" t="s">
        <v>96</v>
      </c>
      <c r="B59" s="240"/>
      <c r="C59" s="146"/>
      <c r="D59" s="145"/>
      <c r="E59" s="145"/>
      <c r="F59" s="145"/>
      <c r="G59" s="145"/>
      <c r="H59" s="145"/>
    </row>
    <row r="60" spans="1:8" x14ac:dyDescent="0.2">
      <c r="A60" s="145" t="s">
        <v>98</v>
      </c>
      <c r="B60" s="240"/>
      <c r="C60" s="146"/>
      <c r="D60" s="145"/>
      <c r="E60" s="145"/>
      <c r="F60" s="145"/>
      <c r="G60" s="145"/>
      <c r="H60" s="145"/>
    </row>
    <row r="61" spans="1:8" x14ac:dyDescent="0.2">
      <c r="A61" s="145" t="s">
        <v>100</v>
      </c>
      <c r="B61" s="240"/>
      <c r="C61" s="146"/>
      <c r="D61" s="145"/>
      <c r="E61" s="145"/>
      <c r="F61" s="145"/>
      <c r="G61" s="145"/>
      <c r="H61" s="145"/>
    </row>
    <row r="62" spans="1:8" x14ac:dyDescent="0.2">
      <c r="A62" s="145" t="s">
        <v>102</v>
      </c>
      <c r="B62" s="240"/>
      <c r="C62" s="146"/>
      <c r="D62" s="145"/>
      <c r="E62" s="145"/>
      <c r="F62" s="145"/>
      <c r="G62" s="145"/>
      <c r="H62" s="145"/>
    </row>
    <row r="63" spans="1:8" x14ac:dyDescent="0.2">
      <c r="A63" s="145" t="s">
        <v>104</v>
      </c>
      <c r="B63" s="240"/>
      <c r="C63" s="146"/>
      <c r="D63" s="145"/>
      <c r="E63" s="145"/>
      <c r="F63" s="145"/>
      <c r="G63" s="145"/>
      <c r="H63" s="145"/>
    </row>
    <row r="64" spans="1:8" x14ac:dyDescent="0.2">
      <c r="A64" s="145" t="s">
        <v>332</v>
      </c>
      <c r="B64" s="240"/>
      <c r="C64" s="146"/>
      <c r="D64" s="145"/>
      <c r="E64" s="145"/>
      <c r="F64" s="145"/>
      <c r="G64" s="145"/>
      <c r="H64" s="145"/>
    </row>
    <row r="65" spans="1:8" x14ac:dyDescent="0.2">
      <c r="A65" s="145" t="s">
        <v>333</v>
      </c>
      <c r="B65" s="240"/>
      <c r="C65" s="146"/>
      <c r="D65" s="145"/>
      <c r="E65" s="145"/>
      <c r="F65" s="145"/>
      <c r="G65" s="145"/>
      <c r="H65" s="145"/>
    </row>
    <row r="66" spans="1:8" x14ac:dyDescent="0.2">
      <c r="A66" s="145" t="s">
        <v>334</v>
      </c>
      <c r="B66" s="240"/>
      <c r="C66" s="146"/>
      <c r="D66" s="145"/>
      <c r="E66" s="145"/>
      <c r="F66" s="145"/>
      <c r="G66" s="145"/>
      <c r="H66" s="145"/>
    </row>
    <row r="68" spans="1:8" x14ac:dyDescent="0.2">
      <c r="A68" s="147" t="s">
        <v>340</v>
      </c>
      <c r="B68" s="252"/>
      <c r="C68" s="148">
        <f>SUM(C69:C77)</f>
        <v>42094.709574322696</v>
      </c>
      <c r="D68" s="147" t="s">
        <v>331</v>
      </c>
      <c r="E68" s="148">
        <v>0</v>
      </c>
      <c r="F68" s="147" t="s">
        <v>331</v>
      </c>
      <c r="G68" s="148">
        <f>C68-H68</f>
        <v>20752.885313547453</v>
      </c>
      <c r="H68" s="148">
        <f>SUM(H69:H77)</f>
        <v>21341.824260775244</v>
      </c>
    </row>
    <row r="69" spans="1:8" x14ac:dyDescent="0.2">
      <c r="A69" s="149" t="s">
        <v>92</v>
      </c>
      <c r="B69" s="241" t="s">
        <v>93</v>
      </c>
      <c r="C69" s="150">
        <f>VLOOKUP(A69,'Project Data'!$B$3:$AT$28,41,FALSE)*Inputs!$C$3*'GBFF Pot'!$B$5</f>
        <v>24665.198130204844</v>
      </c>
      <c r="D69" s="149"/>
      <c r="E69" s="149"/>
      <c r="F69" s="149"/>
      <c r="G69" s="149"/>
      <c r="H69" s="150">
        <f>VLOOKUP(A69,'Project Data'!$B$3:$AT$28,42,FALSE)*Inputs!$C$3*'GBFF Pot'!$B$5</f>
        <v>12537.043503438616</v>
      </c>
    </row>
    <row r="70" spans="1:8" x14ac:dyDescent="0.2">
      <c r="A70" s="149" t="s">
        <v>96</v>
      </c>
      <c r="B70" s="241" t="s">
        <v>93</v>
      </c>
      <c r="C70" s="150">
        <f>VLOOKUP(A70,'Project Data'!$B$3:$AT$28,41,FALSE)*Inputs!$C$3*'GBFF Pot'!$B$5</f>
        <v>663.1038672300665</v>
      </c>
      <c r="D70" s="149"/>
      <c r="E70" s="149"/>
      <c r="F70" s="149"/>
      <c r="G70" s="149"/>
      <c r="H70" s="150">
        <f>VLOOKUP(A70,'Project Data'!$B$3:$AT$28,42,FALSE)*Inputs!$C$3*'GBFF Pot'!$B$5</f>
        <v>421.57696889273711</v>
      </c>
    </row>
    <row r="71" spans="1:8" x14ac:dyDescent="0.2">
      <c r="A71" s="149" t="s">
        <v>98</v>
      </c>
      <c r="B71" s="241" t="s">
        <v>93</v>
      </c>
      <c r="C71" s="150">
        <f>VLOOKUP(A71,'Project Data'!$B$3:$AT$28,41,FALSE)*Inputs!$C$3*'GBFF Pot'!$B$5</f>
        <v>9213.9717314428381</v>
      </c>
      <c r="D71" s="149"/>
      <c r="E71" s="149"/>
      <c r="F71" s="149"/>
      <c r="G71" s="149"/>
      <c r="H71" s="150">
        <f>VLOOKUP(A71,'Project Data'!$B$3:$AT$28,42,FALSE)*Inputs!$C$3*'GBFF Pot'!$B$5</f>
        <v>4606.985865721419</v>
      </c>
    </row>
    <row r="72" spans="1:8" x14ac:dyDescent="0.2">
      <c r="A72" s="149" t="s">
        <v>100</v>
      </c>
      <c r="B72" s="241" t="s">
        <v>94</v>
      </c>
      <c r="C72" s="150">
        <v>0</v>
      </c>
      <c r="D72" s="149"/>
      <c r="E72" s="149"/>
      <c r="F72" s="149"/>
      <c r="G72" s="149"/>
      <c r="H72" s="150"/>
    </row>
    <row r="73" spans="1:8" x14ac:dyDescent="0.2">
      <c r="A73" s="149" t="s">
        <v>102</v>
      </c>
      <c r="B73" s="241" t="s">
        <v>93</v>
      </c>
      <c r="C73" s="150">
        <f>VLOOKUP(A73,'Project Data'!$B$3:$AT$28,41,FALSE)*Inputs!$C$3*'GBFF Pot'!$B$5</f>
        <v>7552.4358454449493</v>
      </c>
      <c r="D73" s="149"/>
      <c r="E73" s="149"/>
      <c r="F73" s="149"/>
      <c r="G73" s="149"/>
      <c r="H73" s="150">
        <f>VLOOKUP(A73,'Project Data'!$B$3:$AT$28,42,FALSE)*Inputs!$C$3*'GBFF Pot'!$B$5</f>
        <v>3776.2179227224747</v>
      </c>
    </row>
    <row r="74" spans="1:8" x14ac:dyDescent="0.2">
      <c r="A74" s="149" t="s">
        <v>104</v>
      </c>
      <c r="B74" s="241" t="s">
        <v>94</v>
      </c>
      <c r="C74" s="150">
        <v>0</v>
      </c>
      <c r="D74" s="149"/>
      <c r="E74" s="149"/>
      <c r="F74" s="149"/>
      <c r="G74" s="149"/>
      <c r="H74" s="150"/>
    </row>
    <row r="75" spans="1:8" x14ac:dyDescent="0.2">
      <c r="A75" s="149" t="s">
        <v>332</v>
      </c>
      <c r="B75" s="241" t="s">
        <v>94</v>
      </c>
      <c r="C75" s="150">
        <v>0</v>
      </c>
      <c r="D75" s="149"/>
      <c r="E75" s="149"/>
      <c r="F75" s="149"/>
      <c r="G75" s="149"/>
      <c r="H75" s="150"/>
    </row>
    <row r="76" spans="1:8" x14ac:dyDescent="0.2">
      <c r="A76" s="149" t="s">
        <v>333</v>
      </c>
      <c r="B76" s="241" t="s">
        <v>94</v>
      </c>
      <c r="C76" s="150">
        <v>0</v>
      </c>
      <c r="D76" s="149"/>
      <c r="E76" s="149"/>
      <c r="F76" s="149"/>
      <c r="G76" s="149"/>
      <c r="H76" s="150"/>
    </row>
    <row r="77" spans="1:8" x14ac:dyDescent="0.2">
      <c r="A77" s="149" t="s">
        <v>334</v>
      </c>
      <c r="B77" s="241" t="s">
        <v>94</v>
      </c>
      <c r="C77" s="150">
        <v>0</v>
      </c>
      <c r="D77" s="149"/>
      <c r="E77" s="149"/>
      <c r="F77" s="149"/>
      <c r="G77" s="149"/>
      <c r="H77" s="150"/>
    </row>
    <row r="79" spans="1:8" x14ac:dyDescent="0.2">
      <c r="A79" s="264" t="s">
        <v>341</v>
      </c>
      <c r="B79" s="265"/>
      <c r="C79" s="266">
        <f>SUM(C80:C88)</f>
        <v>6359869.4758250369</v>
      </c>
      <c r="D79" s="266">
        <f>Milestones!E40</f>
        <v>0</v>
      </c>
      <c r="E79" s="266">
        <v>0</v>
      </c>
      <c r="F79" s="266">
        <f>Milestones!E40</f>
        <v>0</v>
      </c>
      <c r="G79" s="266"/>
      <c r="H79" s="266"/>
    </row>
    <row r="80" spans="1:8" x14ac:dyDescent="0.2">
      <c r="A80" s="103" t="s">
        <v>92</v>
      </c>
      <c r="B80" s="262" t="s">
        <v>93</v>
      </c>
      <c r="C80" s="263">
        <f>VLOOKUP(A80,'Project Data'!$B$3:$AT$28,45,FALSE)*Inputs!$C$3*Inputs!$C$4*'GBFF Pot'!$B$5</f>
        <v>3717582.5464437213</v>
      </c>
      <c r="D80" s="103"/>
      <c r="E80" s="103"/>
      <c r="F80" s="103"/>
      <c r="G80" s="103"/>
      <c r="H80" s="103"/>
    </row>
    <row r="81" spans="1:8" x14ac:dyDescent="0.2">
      <c r="A81" s="103" t="s">
        <v>96</v>
      </c>
      <c r="B81" s="262" t="s">
        <v>93</v>
      </c>
      <c r="C81" s="263">
        <f>VLOOKUP(A81,'Project Data'!$B$3:$AT$28,45,FALSE)*Inputs!$C$3*Inputs!$C$4*'GBFF Pot'!$B$5</f>
        <v>657474.319917246</v>
      </c>
      <c r="D81" s="103"/>
      <c r="E81" s="103"/>
      <c r="F81" s="103"/>
      <c r="G81" s="103"/>
      <c r="H81" s="103"/>
    </row>
    <row r="82" spans="1:8" x14ac:dyDescent="0.2">
      <c r="A82" s="103" t="s">
        <v>98</v>
      </c>
      <c r="B82" s="262" t="s">
        <v>93</v>
      </c>
      <c r="C82" s="263">
        <f>VLOOKUP(A82,'Project Data'!$B$3:$AT$28,45,FALSE)*Inputs!$C$3*Inputs!$C$4*'GBFF Pot'!$B$5</f>
        <v>918376.19880610576</v>
      </c>
      <c r="D82" s="103"/>
      <c r="E82" s="103"/>
      <c r="F82" s="103"/>
      <c r="G82" s="103"/>
      <c r="H82" s="103"/>
    </row>
    <row r="83" spans="1:8" x14ac:dyDescent="0.2">
      <c r="A83" s="103" t="s">
        <v>100</v>
      </c>
      <c r="B83" s="262" t="s">
        <v>94</v>
      </c>
      <c r="C83" s="263">
        <f>VLOOKUP(A83,'Project Data'!$B$3:$AT$28,45,FALSE)*Inputs!$C$3*Inputs!$C$4*'GBFF Pot'!$B$5</f>
        <v>162753.48198216956</v>
      </c>
      <c r="D83" s="103"/>
      <c r="E83" s="103"/>
      <c r="F83" s="103"/>
      <c r="G83" s="103"/>
      <c r="H83" s="103"/>
    </row>
    <row r="84" spans="1:8" x14ac:dyDescent="0.2">
      <c r="A84" s="103" t="s">
        <v>102</v>
      </c>
      <c r="B84" s="262" t="s">
        <v>93</v>
      </c>
      <c r="C84" s="263">
        <f>VLOOKUP(A84,'Project Data'!$B$3:$AT$28,45,FALSE)*Inputs!$C$3*Inputs!$C$4*'GBFF Pot'!$B$5</f>
        <v>52232.646307097268</v>
      </c>
      <c r="D84" s="103"/>
      <c r="E84" s="103"/>
      <c r="F84" s="103"/>
      <c r="G84" s="103"/>
      <c r="H84" s="103"/>
    </row>
    <row r="85" spans="1:8" x14ac:dyDescent="0.2">
      <c r="A85" s="103" t="s">
        <v>104</v>
      </c>
      <c r="B85" s="262" t="s">
        <v>94</v>
      </c>
      <c r="C85" s="263">
        <f>VLOOKUP(A85,'Project Data'!$B$3:$AT$28,45,FALSE)*Inputs!$C$3*Inputs!$C$4*'GBFF Pot'!$B$5</f>
        <v>659986.78195275785</v>
      </c>
      <c r="D85" s="103"/>
      <c r="E85" s="103"/>
      <c r="F85" s="103"/>
      <c r="G85" s="103"/>
      <c r="H85" s="103"/>
    </row>
    <row r="86" spans="1:8" x14ac:dyDescent="0.2">
      <c r="A86" s="103" t="s">
        <v>332</v>
      </c>
      <c r="B86" s="262" t="s">
        <v>94</v>
      </c>
      <c r="C86" s="263">
        <f>(VLOOKUP("Cameroon, CAR, Congo",'Project Data'!$B$3:$AT$28,45,FALSE)*Inputs!$C$3*Inputs!$C$4*'GBFF Pot'!$B$5)/3</f>
        <v>63821.166805313376</v>
      </c>
      <c r="D86" s="103"/>
      <c r="E86" s="103"/>
      <c r="F86" s="103"/>
      <c r="G86" s="103"/>
      <c r="H86" s="103"/>
    </row>
    <row r="87" spans="1:8" x14ac:dyDescent="0.2">
      <c r="A87" s="103" t="s">
        <v>333</v>
      </c>
      <c r="B87" s="262" t="s">
        <v>94</v>
      </c>
      <c r="C87" s="263">
        <f>(VLOOKUP("Cameroon, CAR, Congo",'Project Data'!$B$3:$AT$28,45,FALSE)*Inputs!$C$3*Inputs!$C$4*'GBFF Pot'!$B$5)/3</f>
        <v>63821.166805313376</v>
      </c>
      <c r="D87" s="103"/>
      <c r="E87" s="103"/>
      <c r="F87" s="103"/>
      <c r="G87" s="103"/>
      <c r="H87" s="103"/>
    </row>
    <row r="88" spans="1:8" x14ac:dyDescent="0.2">
      <c r="A88" s="103" t="s">
        <v>334</v>
      </c>
      <c r="B88" s="262" t="s">
        <v>94</v>
      </c>
      <c r="C88" s="263">
        <f>(VLOOKUP("Cameroon, CAR, Congo",'Project Data'!$B$3:$AT$28,45,FALSE)*Inputs!$C$3*Inputs!$C$4*'GBFF Pot'!$B$5)/3</f>
        <v>63821.166805313376</v>
      </c>
      <c r="D88" s="103"/>
      <c r="E88" s="103"/>
      <c r="F88" s="103"/>
      <c r="G88" s="103"/>
      <c r="H88" s="103"/>
    </row>
  </sheetData>
  <autoFilter ref="A1:H11" xr:uid="{D8CEE635-57E1-4152-A5C1-6E9F93FD0B5D}">
    <filterColumn colId="1">
      <filters blank="1">
        <filter val="Yes"/>
      </filters>
    </filterColumn>
  </autoFilter>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E635-57E1-4152-A5C1-6E9F93FD0B5D}">
  <sheetPr>
    <tabColor theme="8" tint="0.59999389629810485"/>
  </sheetPr>
  <dimension ref="A1:H161"/>
  <sheetViews>
    <sheetView workbookViewId="0">
      <pane ySplit="1" topLeftCell="A109" activePane="bottomLeft" state="frozen"/>
      <selection pane="bottomLeft" activeCell="H161" sqref="A143:H161"/>
    </sheetView>
  </sheetViews>
  <sheetFormatPr defaultRowHeight="12.75" x14ac:dyDescent="0.2"/>
  <cols>
    <col min="1" max="1" width="46.28515625" customWidth="1"/>
    <col min="2" max="2" width="8.5703125" customWidth="1"/>
    <col min="3" max="3" width="13.140625" style="84" customWidth="1"/>
    <col min="4" max="8" width="13.140625" customWidth="1"/>
  </cols>
  <sheetData>
    <row r="1" spans="1:8" s="1" customFormat="1" ht="25.5" x14ac:dyDescent="0.2">
      <c r="B1" s="1" t="s">
        <v>323</v>
      </c>
      <c r="C1" s="89" t="s">
        <v>324</v>
      </c>
      <c r="D1" s="1" t="s">
        <v>325</v>
      </c>
      <c r="E1" s="1" t="s">
        <v>326</v>
      </c>
      <c r="F1" s="1" t="s">
        <v>327</v>
      </c>
      <c r="G1" s="1" t="s">
        <v>328</v>
      </c>
      <c r="H1" s="1" t="s">
        <v>329</v>
      </c>
    </row>
    <row r="2" spans="1:8" x14ac:dyDescent="0.2">
      <c r="A2" s="129" t="s">
        <v>330</v>
      </c>
      <c r="B2" s="129"/>
      <c r="C2" s="220">
        <f>SUM(C3:C21)</f>
        <v>12515.745634354462</v>
      </c>
      <c r="D2" s="129" t="s">
        <v>331</v>
      </c>
      <c r="E2" s="130">
        <f>'ICF 25'!C2+C2</f>
        <v>54610.455208677158</v>
      </c>
      <c r="F2" s="129" t="s">
        <v>331</v>
      </c>
      <c r="G2" s="130">
        <f>C2-H2</f>
        <v>6275.9231388478447</v>
      </c>
      <c r="H2" s="130">
        <f>SUM(H3:H21)</f>
        <v>6239.8224955066171</v>
      </c>
    </row>
    <row r="3" spans="1:8" x14ac:dyDescent="0.2">
      <c r="A3" s="131" t="s">
        <v>108</v>
      </c>
      <c r="B3" s="131" t="str">
        <f>VLOOKUP(A3,'Project Data'!$B$10:$AT$28,43,FALSE)</f>
        <v>No</v>
      </c>
      <c r="C3" s="221">
        <f>IF(B3="Yes",VLOOKUP(A3,'Project Data'!$B$3:$AT$28,41,FALSE)*Inputs!$C$3*'GBFF Pot'!$B$5,0)</f>
        <v>0</v>
      </c>
      <c r="D3" s="221"/>
      <c r="E3" s="131"/>
      <c r="F3" s="131"/>
      <c r="G3" s="132">
        <f t="shared" ref="G3:G21" si="0">IFERROR(C3-H3,"-")</f>
        <v>0</v>
      </c>
      <c r="H3" s="221">
        <f>IF(B3="Yes",VLOOKUP(A3,'Project Data'!$B$3:$AT$28,42,FALSE)*Inputs!$C$3*'GBFF Pot'!$B$5,0)</f>
        <v>0</v>
      </c>
    </row>
    <row r="4" spans="1:8" x14ac:dyDescent="0.2">
      <c r="A4" s="131" t="s">
        <v>111</v>
      </c>
      <c r="B4" s="131" t="str">
        <f>VLOOKUP(A4,'Project Data'!$B$10:$AT$28,43,FALSE)</f>
        <v>Yes</v>
      </c>
      <c r="C4" s="221">
        <f>IF(B4="Yes",VLOOKUP(A4,'Project Data'!$B$3:$AT$28,41,FALSE)*Inputs!$C$3*'GBFF Pot'!$B$5,0)</f>
        <v>30.209743381779795</v>
      </c>
      <c r="D4" s="221"/>
      <c r="E4" s="131"/>
      <c r="F4" s="131"/>
      <c r="G4" s="132">
        <f t="shared" si="0"/>
        <v>15.104871690889897</v>
      </c>
      <c r="H4" s="221">
        <f>IF(B4="Yes",VLOOKUP(A4,'Project Data'!$B$3:$AT$28,42,FALSE)*Inputs!$C$3*'GBFF Pot'!$B$5,0)</f>
        <v>15.104871690889897</v>
      </c>
    </row>
    <row r="5" spans="1:8" x14ac:dyDescent="0.2">
      <c r="A5" s="131" t="s">
        <v>113</v>
      </c>
      <c r="B5" s="131" t="str">
        <f>VLOOKUP(A5,'Project Data'!$B$10:$AT$28,43,FALSE)</f>
        <v>No</v>
      </c>
      <c r="C5" s="221">
        <f>IF(B5="Yes",VLOOKUP(A5,'Project Data'!$B$3:$AT$28,41,FALSE)*Inputs!$C$3*'GBFF Pot'!$B$5,0)</f>
        <v>0</v>
      </c>
      <c r="D5" s="221"/>
      <c r="E5" s="131"/>
      <c r="F5" s="131"/>
      <c r="G5" s="132">
        <f t="shared" si="0"/>
        <v>0</v>
      </c>
      <c r="H5" s="221">
        <f>IF(B5="Yes",VLOOKUP(A5,'Project Data'!$B$3:$AT$28,42,FALSE)*Inputs!$C$3*'GBFF Pot'!$B$5,0)</f>
        <v>0</v>
      </c>
    </row>
    <row r="6" spans="1:8" x14ac:dyDescent="0.2">
      <c r="A6" s="131" t="s">
        <v>115</v>
      </c>
      <c r="B6" s="131" t="str">
        <f>VLOOKUP(A6,'Project Data'!$B$10:$AT$28,43,FALSE)</f>
        <v>Yes</v>
      </c>
      <c r="C6" s="221">
        <f>IF(B6="Yes",VLOOKUP(A6,'Project Data'!$B$3:$AT$28,41,FALSE)*Inputs!$C$3*'GBFF Pot'!$B$5,0)</f>
        <v>583.04804726835005</v>
      </c>
      <c r="D6" s="221"/>
      <c r="E6" s="131"/>
      <c r="F6" s="131"/>
      <c r="G6" s="132">
        <f t="shared" si="0"/>
        <v>279.89327243218975</v>
      </c>
      <c r="H6" s="221">
        <f>IF(B6="Yes",VLOOKUP(A6,'Project Data'!$B$3:$AT$28,42,FALSE)*Inputs!$C$3*'GBFF Pot'!$B$5,0)</f>
        <v>303.1547748361603</v>
      </c>
    </row>
    <row r="7" spans="1:8" x14ac:dyDescent="0.2">
      <c r="A7" s="131" t="s">
        <v>117</v>
      </c>
      <c r="B7" s="131" t="str">
        <f>VLOOKUP(A7,'Project Data'!$B$10:$AT$28,43,FALSE)</f>
        <v>Yes</v>
      </c>
      <c r="C7" s="221">
        <f>IF(B7="Yes",VLOOKUP(A7,'Project Data'!$B$3:$AT$28,41,FALSE)*Inputs!$C$3*'GBFF Pot'!$B$5,0)</f>
        <v>335.93234640539134</v>
      </c>
      <c r="D7" s="221"/>
      <c r="E7" s="131"/>
      <c r="F7" s="131"/>
      <c r="G7" s="132">
        <f t="shared" si="0"/>
        <v>198.17591658447546</v>
      </c>
      <c r="H7" s="221">
        <f>IF(B7="Yes",VLOOKUP(A7,'Project Data'!$B$3:$AT$28,42,FALSE)*Inputs!$C$3*'GBFF Pot'!$B$5,0)</f>
        <v>137.75642982091588</v>
      </c>
    </row>
    <row r="8" spans="1:8" x14ac:dyDescent="0.2">
      <c r="A8" s="131" t="s">
        <v>119</v>
      </c>
      <c r="B8" s="131" t="str">
        <f>VLOOKUP(A8,'Project Data'!$B$10:$AT$28,43,FALSE)</f>
        <v>Yes</v>
      </c>
      <c r="C8" s="221">
        <f>IF(B8="Yes",VLOOKUP(A8,'Project Data'!$B$3:$AT$28,41,FALSE)*Inputs!$C$3*'GBFF Pot'!$B$5,0)</f>
        <v>75.524358454449498</v>
      </c>
      <c r="D8" s="221"/>
      <c r="E8" s="131"/>
      <c r="F8" s="131"/>
      <c r="G8" s="132">
        <f t="shared" si="0"/>
        <v>37.762179227224749</v>
      </c>
      <c r="H8" s="221">
        <f>IF(B8="Yes",VLOOKUP(A8,'Project Data'!$B$3:$AT$28,42,FALSE)*Inputs!$C$3*'GBFF Pot'!$B$5,0)</f>
        <v>37.762179227224749</v>
      </c>
    </row>
    <row r="9" spans="1:8" x14ac:dyDescent="0.2">
      <c r="A9" s="131" t="s">
        <v>121</v>
      </c>
      <c r="B9" s="131" t="str">
        <f>VLOOKUP(A9,'Project Data'!$B$10:$AT$28,43,FALSE)</f>
        <v>Yes</v>
      </c>
      <c r="C9" s="221">
        <f>IF(B9="Yes",VLOOKUP(A9,'Project Data'!$B$3:$AT$28,41,FALSE)*Inputs!$C$3*'GBFF Pot'!$B$5,0)</f>
        <v>1359.438452180091</v>
      </c>
      <c r="D9" s="221"/>
      <c r="E9" s="131"/>
      <c r="F9" s="131"/>
      <c r="G9" s="132">
        <f t="shared" si="0"/>
        <v>679.71922609004548</v>
      </c>
      <c r="H9" s="221">
        <f>IF(B9="Yes",VLOOKUP(A9,'Project Data'!$B$3:$AT$28,42,FALSE)*Inputs!$C$3*'GBFF Pot'!$B$5,0)</f>
        <v>679.71922609004548</v>
      </c>
    </row>
    <row r="10" spans="1:8" x14ac:dyDescent="0.2">
      <c r="A10" s="131" t="s">
        <v>123</v>
      </c>
      <c r="B10" s="131" t="str">
        <f>VLOOKUP(A10,'Project Data'!$B$10:$AT$28,43,FALSE)</f>
        <v>No</v>
      </c>
      <c r="C10" s="221">
        <f>IF(B10="Yes",VLOOKUP(A10,'Project Data'!$B$3:$AT$28,41,FALSE)*Inputs!$C$3*'GBFF Pot'!$B$5,0)</f>
        <v>0</v>
      </c>
      <c r="D10" s="221"/>
      <c r="E10" s="131"/>
      <c r="F10" s="131"/>
      <c r="G10" s="132">
        <f t="shared" si="0"/>
        <v>0</v>
      </c>
      <c r="H10" s="221">
        <f>IF(B10="Yes",VLOOKUP(A10,'Project Data'!$B$3:$AT$28,42,FALSE)*Inputs!$C$3*'GBFF Pot'!$B$5,0)</f>
        <v>0</v>
      </c>
    </row>
    <row r="11" spans="1:8" x14ac:dyDescent="0.2">
      <c r="A11" s="131" t="s">
        <v>125</v>
      </c>
      <c r="B11" s="131" t="str">
        <f>VLOOKUP(A11,'Project Data'!$B$10:$AT$28,43,FALSE)</f>
        <v>Yes</v>
      </c>
      <c r="C11" s="221">
        <f>IF(B11="Yes",VLOOKUP(A11,'Project Data'!$B$3:$AT$28,41,FALSE)*Inputs!$C$3*'GBFF Pot'!$B$5,0)</f>
        <v>60.41948676355959</v>
      </c>
      <c r="D11" s="221"/>
      <c r="E11" s="131"/>
      <c r="F11" s="131"/>
      <c r="G11" s="132">
        <f t="shared" si="0"/>
        <v>30.209743381779795</v>
      </c>
      <c r="H11" s="221">
        <f>IF(B11="Yes",VLOOKUP(A11,'Project Data'!$B$3:$AT$28,42,FALSE)*Inputs!$C$3*'GBFF Pot'!$B$5,0)</f>
        <v>30.209743381779795</v>
      </c>
    </row>
    <row r="12" spans="1:8" x14ac:dyDescent="0.2">
      <c r="A12" s="131" t="s">
        <v>127</v>
      </c>
      <c r="B12" s="131" t="str">
        <f>VLOOKUP(A12,'Project Data'!$B$10:$AT$28,43,FALSE)</f>
        <v>Yes</v>
      </c>
      <c r="C12" s="221">
        <f>IF(B12="Yes",VLOOKUP(A12,'Project Data'!$B$3:$AT$28,41,FALSE)*Inputs!$C$3*'GBFF Pot'!$B$5,0)</f>
        <v>1510.4871690889897</v>
      </c>
      <c r="D12" s="221"/>
      <c r="E12" s="131"/>
      <c r="F12" s="131"/>
      <c r="G12" s="132">
        <f t="shared" si="0"/>
        <v>755.24358454449487</v>
      </c>
      <c r="H12" s="221">
        <f>IF(B12="Yes",VLOOKUP(A12,'Project Data'!$B$3:$AT$28,42,FALSE)*Inputs!$C$3*'GBFF Pot'!$B$5,0)</f>
        <v>755.24358454449487</v>
      </c>
    </row>
    <row r="13" spans="1:8" x14ac:dyDescent="0.2">
      <c r="A13" s="131" t="s">
        <v>129</v>
      </c>
      <c r="B13" s="131" t="str">
        <f>VLOOKUP(A13,'Project Data'!$B$10:$AT$28,43,FALSE)</f>
        <v>No</v>
      </c>
      <c r="C13" s="221">
        <f>IF(B13="Yes",VLOOKUP(A13,'Project Data'!$B$3:$AT$28,41,FALSE)*Inputs!$C$3*'GBFF Pot'!$B$5,0)</f>
        <v>0</v>
      </c>
      <c r="D13" s="221"/>
      <c r="E13" s="131"/>
      <c r="F13" s="131"/>
      <c r="G13" s="132">
        <f t="shared" si="0"/>
        <v>0</v>
      </c>
      <c r="H13" s="221">
        <f>IF(B13="Yes",VLOOKUP(A13,'Project Data'!$B$3:$AT$28,42,FALSE)*Inputs!$C$3*'GBFF Pot'!$B$5,0)</f>
        <v>0</v>
      </c>
    </row>
    <row r="14" spans="1:8" x14ac:dyDescent="0.2">
      <c r="A14" s="131" t="s">
        <v>131</v>
      </c>
      <c r="B14" s="131" t="str">
        <f>VLOOKUP(A14,'Project Data'!$B$10:$AT$28,43,FALSE)</f>
        <v>Yes</v>
      </c>
      <c r="C14" s="221">
        <f>IF(B14="Yes",VLOOKUP(A14,'Project Data'!$B$3:$AT$28,41,FALSE)*Inputs!$C$3*'GBFF Pot'!$B$5,0)</f>
        <v>1709.116231824192</v>
      </c>
      <c r="D14" s="221"/>
      <c r="E14" s="131"/>
      <c r="F14" s="131"/>
      <c r="G14" s="132">
        <f t="shared" si="0"/>
        <v>860.37349151308865</v>
      </c>
      <c r="H14" s="221">
        <f>IF(B14="Yes",VLOOKUP(A14,'Project Data'!$B$3:$AT$28,42,FALSE)*Inputs!$C$3*'GBFF Pot'!$B$5,0)</f>
        <v>848.74274031110338</v>
      </c>
    </row>
    <row r="15" spans="1:8" x14ac:dyDescent="0.2">
      <c r="A15" s="131" t="s">
        <v>133</v>
      </c>
      <c r="B15" s="131" t="str">
        <f>VLOOKUP(A15,'Project Data'!$B$10:$AT$28,43,FALSE)</f>
        <v>Yes</v>
      </c>
      <c r="C15" s="221">
        <f>IF(B15="Yes",VLOOKUP(A15,'Project Data'!$B$3:$AT$28,41,FALSE)*Inputs!$C$3*'GBFF Pot'!$B$5,0)</f>
        <v>3636.7999570155612</v>
      </c>
      <c r="D15" s="221"/>
      <c r="E15" s="131"/>
      <c r="F15" s="131"/>
      <c r="G15" s="132">
        <f t="shared" si="0"/>
        <v>1812.5846029067882</v>
      </c>
      <c r="H15" s="221">
        <f>IF(B15="Yes",VLOOKUP(A15,'Project Data'!$B$3:$AT$28,42,FALSE)*Inputs!$C$3*'GBFF Pot'!$B$5,0)</f>
        <v>1824.215354108773</v>
      </c>
    </row>
    <row r="16" spans="1:8" x14ac:dyDescent="0.2">
      <c r="A16" s="131" t="s">
        <v>135</v>
      </c>
      <c r="B16" s="131" t="str">
        <f>VLOOKUP(A16,'Project Data'!$B$10:$AT$28,43,FALSE)</f>
        <v>Yes</v>
      </c>
      <c r="C16" s="221">
        <f>IF(B16="Yes",VLOOKUP(A16,'Project Data'!$B$3:$AT$28,41,FALSE)*Inputs!$C$3*'GBFF Pot'!$B$5,0)</f>
        <v>186.24306794867246</v>
      </c>
      <c r="D16" s="221"/>
      <c r="E16" s="131"/>
      <c r="F16" s="131"/>
      <c r="G16" s="132">
        <f t="shared" si="0"/>
        <v>92.592863465155091</v>
      </c>
      <c r="H16" s="221">
        <f>IF(B16="Yes",VLOOKUP(A16,'Project Data'!$B$3:$AT$28,42,FALSE)*Inputs!$C$3*'GBFF Pot'!$B$5,0)</f>
        <v>93.650204483517371</v>
      </c>
    </row>
    <row r="17" spans="1:8" x14ac:dyDescent="0.2">
      <c r="A17" s="131" t="s">
        <v>137</v>
      </c>
      <c r="B17" s="131" t="str">
        <f>VLOOKUP(A17,'Project Data'!$B$10:$AT$28,43,FALSE)</f>
        <v>Yes</v>
      </c>
      <c r="C17" s="221">
        <f>IF(B17="Yes",VLOOKUP(A17,'Project Data'!$B$3:$AT$28,41,FALSE)*Inputs!$C$3*'GBFF Pot'!$B$5,0)</f>
        <v>762.79602038993983</v>
      </c>
      <c r="D17" s="221"/>
      <c r="E17" s="131"/>
      <c r="F17" s="131"/>
      <c r="G17" s="132">
        <f t="shared" si="0"/>
        <v>381.39801019496991</v>
      </c>
      <c r="H17" s="221">
        <f>IF(B17="Yes",VLOOKUP(A17,'Project Data'!$B$3:$AT$28,42,FALSE)*Inputs!$C$3*'GBFF Pot'!$B$5,0)</f>
        <v>381.39801019496991</v>
      </c>
    </row>
    <row r="18" spans="1:8" x14ac:dyDescent="0.2">
      <c r="A18" s="131" t="s">
        <v>139</v>
      </c>
      <c r="B18" s="131" t="str">
        <f>VLOOKUP(A18,'Project Data'!$B$10:$AT$28,43,FALSE)</f>
        <v>No</v>
      </c>
      <c r="C18" s="221">
        <f>IF(B18="Yes",VLOOKUP(A18,'Project Data'!$B$3:$AT$28,41,FALSE)*Inputs!$C$3*'GBFF Pot'!$B$5,0)</f>
        <v>0</v>
      </c>
      <c r="D18" s="221"/>
      <c r="E18" s="131"/>
      <c r="F18" s="131"/>
      <c r="G18" s="132">
        <f t="shared" si="0"/>
        <v>0</v>
      </c>
      <c r="H18" s="221">
        <f>IF(B18="Yes",VLOOKUP(A18,'Project Data'!$B$3:$AT$28,42,FALSE)*Inputs!$C$3*'GBFF Pot'!$B$5,0)</f>
        <v>0</v>
      </c>
    </row>
    <row r="19" spans="1:8" x14ac:dyDescent="0.2">
      <c r="A19" s="131" t="s">
        <v>141</v>
      </c>
      <c r="B19" s="131" t="str">
        <f>VLOOKUP(A19,'Project Data'!$B$10:$AT$28,43,FALSE)</f>
        <v>Yes</v>
      </c>
      <c r="C19" s="221">
        <f>IF(B19="Yes",VLOOKUP(A19,'Project Data'!$B$3:$AT$28,41,FALSE)*Inputs!$C$3*'GBFF Pot'!$B$5,0)</f>
        <v>2265.7307536334847</v>
      </c>
      <c r="D19" s="221"/>
      <c r="E19" s="131"/>
      <c r="F19" s="131"/>
      <c r="G19" s="132">
        <f t="shared" si="0"/>
        <v>1132.8653768167424</v>
      </c>
      <c r="H19" s="221">
        <f>IF(B19="Yes",VLOOKUP(A19,'Project Data'!$B$3:$AT$28,42,FALSE)*Inputs!$C$3*'GBFF Pot'!$B$5,0)</f>
        <v>1132.8653768167424</v>
      </c>
    </row>
    <row r="20" spans="1:8" x14ac:dyDescent="0.2">
      <c r="A20" s="131" t="s">
        <v>143</v>
      </c>
      <c r="B20" s="131" t="str">
        <f>VLOOKUP(A20,'Project Data'!$B$10:$AT$28,43,FALSE)</f>
        <v>No</v>
      </c>
      <c r="C20" s="221">
        <f>IF(B20="Yes",VLOOKUP(A20,'Project Data'!$B$3:$AT$28,41,FALSE)*Inputs!$C$3*'GBFF Pot'!$B$5,0)</f>
        <v>0</v>
      </c>
      <c r="D20" s="221"/>
      <c r="E20" s="131"/>
      <c r="F20" s="131"/>
      <c r="G20" s="132">
        <f t="shared" si="0"/>
        <v>0</v>
      </c>
      <c r="H20" s="221">
        <f>IF(B20="Yes",VLOOKUP(A20,'Project Data'!$B$3:$AT$28,42,FALSE)*Inputs!$C$3*'GBFF Pot'!$B$5,0)</f>
        <v>0</v>
      </c>
    </row>
    <row r="21" spans="1:8" x14ac:dyDescent="0.2">
      <c r="A21" s="131" t="s">
        <v>145</v>
      </c>
      <c r="B21" s="131" t="str">
        <f>VLOOKUP(A21,'Project Data'!$B$10:$AT$28,43,FALSE)</f>
        <v>No</v>
      </c>
      <c r="C21" s="221">
        <f>IF(B21="Yes",VLOOKUP(A21,'Project Data'!$B$3:$AT$28,41,FALSE)*Inputs!$C$3*'GBFF Pot'!$B$5,0)</f>
        <v>0</v>
      </c>
      <c r="D21" s="221"/>
      <c r="E21" s="131"/>
      <c r="F21" s="131"/>
      <c r="G21" s="132">
        <f t="shared" si="0"/>
        <v>0</v>
      </c>
      <c r="H21" s="221">
        <f>IF(B21="Yes",VLOOKUP(A21,'Project Data'!$B$3:$AT$28,42,FALSE)*Inputs!$C$3*'GBFF Pot'!$B$5,0)</f>
        <v>0</v>
      </c>
    </row>
    <row r="22" spans="1:8" x14ac:dyDescent="0.2">
      <c r="A22" s="133" t="s">
        <v>335</v>
      </c>
      <c r="B22" s="133"/>
      <c r="C22" s="134">
        <f>SUM(C23:C41)</f>
        <v>7278457.5501376819</v>
      </c>
      <c r="D22" s="134">
        <f>Milestones!F4-Milestones!E4</f>
        <v>6188137.5600000015</v>
      </c>
      <c r="E22" s="134">
        <f>C22+'ICF 25'!C13</f>
        <v>17892294.933472183</v>
      </c>
      <c r="F22" s="134">
        <f>Milestones!F4</f>
        <v>12376275.120000003</v>
      </c>
      <c r="G22" s="134"/>
      <c r="H22" s="134"/>
    </row>
    <row r="23" spans="1:8" x14ac:dyDescent="0.2">
      <c r="A23" s="135" t="s">
        <v>108</v>
      </c>
      <c r="B23" s="135"/>
      <c r="C23" s="136">
        <f>VLOOKUP(A23,'Project Data'!$B$3:$AT$28,33,FALSE)*Inputs!$C$3*'GBFF Pot'!$B$5</f>
        <v>0</v>
      </c>
      <c r="D23" s="136"/>
      <c r="E23" s="136"/>
      <c r="F23" s="136"/>
      <c r="G23" s="136"/>
      <c r="H23" s="136"/>
    </row>
    <row r="24" spans="1:8" x14ac:dyDescent="0.2">
      <c r="A24" s="135" t="s">
        <v>111</v>
      </c>
      <c r="B24" s="135"/>
      <c r="C24" s="136">
        <f>VLOOKUP(A24,'Project Data'!$B$3:$AT$28,33,FALSE)*Inputs!$C$3*'GBFF Pot'!$B$5</f>
        <v>0</v>
      </c>
      <c r="D24" s="136"/>
      <c r="E24" s="136"/>
      <c r="F24" s="136"/>
      <c r="G24" s="136"/>
      <c r="H24" s="136"/>
    </row>
    <row r="25" spans="1:8" x14ac:dyDescent="0.2">
      <c r="A25" s="135" t="s">
        <v>113</v>
      </c>
      <c r="B25" s="135"/>
      <c r="C25" s="136">
        <f>VLOOKUP(A25,'Project Data'!$B$3:$AT$28,33,FALSE)*Inputs!$C$3*'GBFF Pot'!$B$5</f>
        <v>53724.403435289554</v>
      </c>
      <c r="D25" s="136"/>
      <c r="E25" s="136"/>
      <c r="F25" s="136"/>
      <c r="G25" s="136"/>
      <c r="H25" s="136"/>
    </row>
    <row r="26" spans="1:8" x14ac:dyDescent="0.2">
      <c r="A26" s="135" t="s">
        <v>115</v>
      </c>
      <c r="B26" s="135"/>
      <c r="C26" s="136">
        <f>VLOOKUP(A26,'Project Data'!$B$3:$AT$28,33,FALSE)*Inputs!$C$3*'GBFF Pot'!$B$5</f>
        <v>1038524.6380190044</v>
      </c>
      <c r="D26" s="136"/>
      <c r="E26" s="136"/>
      <c r="F26" s="136"/>
      <c r="G26" s="136"/>
      <c r="H26" s="136"/>
    </row>
    <row r="27" spans="1:8" x14ac:dyDescent="0.2">
      <c r="A27" s="135" t="s">
        <v>117</v>
      </c>
      <c r="B27" s="135"/>
      <c r="C27" s="136">
        <f>VLOOKUP(A27,'Project Data'!$B$3:$AT$28,33,FALSE)*Inputs!$C$3*'GBFF Pot'!$B$5</f>
        <v>0</v>
      </c>
      <c r="D27" s="136"/>
      <c r="E27" s="136"/>
      <c r="F27" s="136"/>
      <c r="G27" s="136"/>
      <c r="H27" s="136"/>
    </row>
    <row r="28" spans="1:8" x14ac:dyDescent="0.2">
      <c r="A28" s="135" t="s">
        <v>119</v>
      </c>
      <c r="B28" s="135"/>
      <c r="C28" s="136">
        <f>VLOOKUP(A28,'Project Data'!$B$3:$AT$28,33,FALSE)*Inputs!$C$3*'GBFF Pot'!$B$5</f>
        <v>0</v>
      </c>
      <c r="D28" s="136"/>
      <c r="E28" s="136"/>
      <c r="F28" s="136"/>
      <c r="G28" s="136"/>
      <c r="H28" s="136"/>
    </row>
    <row r="29" spans="1:8" x14ac:dyDescent="0.2">
      <c r="A29" s="135" t="s">
        <v>121</v>
      </c>
      <c r="B29" s="135"/>
      <c r="C29" s="136">
        <f>VLOOKUP(A29,'Project Data'!$B$3:$AT$28,33,FALSE)*Inputs!$C$3*'GBFF Pot'!$B$5</f>
        <v>562732.44799025392</v>
      </c>
      <c r="D29" s="136"/>
      <c r="E29" s="136"/>
      <c r="F29" s="136"/>
      <c r="G29" s="136"/>
      <c r="H29" s="136"/>
    </row>
    <row r="30" spans="1:8" x14ac:dyDescent="0.2">
      <c r="A30" s="135" t="s">
        <v>123</v>
      </c>
      <c r="B30" s="135"/>
      <c r="C30" s="136">
        <f>VLOOKUP(A30,'Project Data'!$B$3:$AT$28,33,FALSE)*Inputs!$C$3*'GBFF Pot'!$B$5</f>
        <v>0</v>
      </c>
      <c r="D30" s="136"/>
      <c r="E30" s="136"/>
      <c r="F30" s="136"/>
      <c r="G30" s="136"/>
      <c r="H30" s="136"/>
    </row>
    <row r="31" spans="1:8" x14ac:dyDescent="0.2">
      <c r="A31" s="135" t="s">
        <v>125</v>
      </c>
      <c r="B31" s="135"/>
      <c r="C31" s="136">
        <f>VLOOKUP(A31,'Project Data'!$B$3:$AT$28,33,FALSE)*Inputs!$C$3*'GBFF Pot'!$B$5</f>
        <v>3528.9511731426073</v>
      </c>
      <c r="D31" s="136"/>
      <c r="E31" s="136"/>
      <c r="F31" s="136"/>
      <c r="G31" s="136"/>
      <c r="H31" s="136"/>
    </row>
    <row r="32" spans="1:8" x14ac:dyDescent="0.2">
      <c r="A32" s="135" t="s">
        <v>127</v>
      </c>
      <c r="B32" s="135"/>
      <c r="C32" s="136">
        <f>VLOOKUP(A32,'Project Data'!$B$3:$AT$28,33,FALSE)*Inputs!$C$3*'GBFF Pot'!$B$5</f>
        <v>108790.42157416396</v>
      </c>
      <c r="D32" s="136"/>
      <c r="E32" s="136"/>
      <c r="F32" s="136"/>
      <c r="G32" s="136"/>
      <c r="H32" s="136"/>
    </row>
    <row r="33" spans="1:8" x14ac:dyDescent="0.2">
      <c r="A33" s="135" t="s">
        <v>129</v>
      </c>
      <c r="B33" s="135"/>
      <c r="C33" s="136">
        <f>VLOOKUP(A33,'Project Data'!$B$3:$AT$28,33,FALSE)*Inputs!$C$3*'GBFF Pot'!$B$5</f>
        <v>0</v>
      </c>
      <c r="D33" s="136"/>
      <c r="E33" s="136"/>
      <c r="F33" s="136"/>
      <c r="G33" s="136"/>
      <c r="H33" s="136"/>
    </row>
    <row r="34" spans="1:8" x14ac:dyDescent="0.2">
      <c r="A34" s="135" t="s">
        <v>131</v>
      </c>
      <c r="B34" s="135"/>
      <c r="C34" s="136">
        <f>VLOOKUP(A34,'Project Data'!$B$3:$AT$28,33,FALSE)*Inputs!$C$3*'GBFF Pot'!$B$5</f>
        <v>4847768.093884388</v>
      </c>
      <c r="D34" s="136"/>
      <c r="E34" s="136"/>
      <c r="F34" s="136"/>
      <c r="G34" s="136"/>
      <c r="H34" s="136"/>
    </row>
    <row r="35" spans="1:8" x14ac:dyDescent="0.2">
      <c r="A35" s="135" t="s">
        <v>133</v>
      </c>
      <c r="B35" s="135"/>
      <c r="C35" s="136">
        <f>VLOOKUP(A35,'Project Data'!$B$3:$AT$28,33,FALSE)*Inputs!$C$3*'GBFF Pot'!$B$5</f>
        <v>0</v>
      </c>
      <c r="D35" s="136"/>
      <c r="E35" s="136"/>
      <c r="F35" s="136"/>
      <c r="G35" s="136"/>
      <c r="H35" s="136"/>
    </row>
    <row r="36" spans="1:8" x14ac:dyDescent="0.2">
      <c r="A36" s="135" t="s">
        <v>135</v>
      </c>
      <c r="B36" s="135"/>
      <c r="C36" s="136">
        <f>VLOOKUP(A36,'Project Data'!$B$3:$AT$28,33,FALSE)*Inputs!$C$3*'GBFF Pot'!$B$5</f>
        <v>1536.6185971142295</v>
      </c>
      <c r="D36" s="136"/>
      <c r="E36" s="136"/>
      <c r="F36" s="136"/>
      <c r="G36" s="136"/>
      <c r="H36" s="136"/>
    </row>
    <row r="37" spans="1:8" x14ac:dyDescent="0.2">
      <c r="A37" s="135" t="s">
        <v>137</v>
      </c>
      <c r="B37" s="135"/>
      <c r="C37" s="136">
        <f>VLOOKUP(A37,'Project Data'!$B$3:$AT$28,33,FALSE)*Inputs!$C$3*'GBFF Pot'!$B$5</f>
        <v>0</v>
      </c>
      <c r="D37" s="136"/>
      <c r="E37" s="136"/>
      <c r="F37" s="136"/>
      <c r="G37" s="136"/>
      <c r="H37" s="136"/>
    </row>
    <row r="38" spans="1:8" x14ac:dyDescent="0.2">
      <c r="A38" s="135" t="s">
        <v>139</v>
      </c>
      <c r="B38" s="135"/>
      <c r="C38" s="136">
        <f>VLOOKUP(A38,'Project Data'!$B$3:$AT$28,33,FALSE)*Inputs!$C$3*'GBFF Pot'!$B$5</f>
        <v>661851.97546432563</v>
      </c>
      <c r="D38" s="136"/>
      <c r="E38" s="136"/>
      <c r="F38" s="136"/>
      <c r="G38" s="136"/>
      <c r="H38" s="136"/>
    </row>
    <row r="39" spans="1:8" x14ac:dyDescent="0.2">
      <c r="A39" s="135" t="s">
        <v>141</v>
      </c>
      <c r="B39" s="135"/>
      <c r="C39" s="136">
        <f>VLOOKUP(A39,'Project Data'!$B$3:$AT$28,33,FALSE)*Inputs!$C$3*'GBFF Pot'!$B$5</f>
        <v>0</v>
      </c>
      <c r="D39" s="136"/>
      <c r="E39" s="136"/>
      <c r="F39" s="136"/>
      <c r="G39" s="136"/>
      <c r="H39" s="136"/>
    </row>
    <row r="40" spans="1:8" x14ac:dyDescent="0.2">
      <c r="A40" s="135" t="s">
        <v>143</v>
      </c>
      <c r="B40" s="135"/>
      <c r="C40" s="136">
        <f>VLOOKUP(A40,'Project Data'!$B$3:$AT$28,33,FALSE)*Inputs!$C$3*'GBFF Pot'!$B$5</f>
        <v>0</v>
      </c>
      <c r="D40" s="136"/>
      <c r="E40" s="136"/>
      <c r="F40" s="136"/>
      <c r="G40" s="136"/>
      <c r="H40" s="136"/>
    </row>
    <row r="41" spans="1:8" x14ac:dyDescent="0.2">
      <c r="A41" s="135" t="s">
        <v>145</v>
      </c>
      <c r="B41" s="135"/>
      <c r="C41" s="136">
        <f>VLOOKUP(A41,'Project Data'!$B$3:$AT$28,33,FALSE)*Inputs!$C$3*'GBFF Pot'!$B$5</f>
        <v>0</v>
      </c>
      <c r="D41" s="136"/>
      <c r="E41" s="136"/>
      <c r="F41" s="136"/>
      <c r="G41" s="136"/>
      <c r="H41" s="136"/>
    </row>
    <row r="42" spans="1:8" x14ac:dyDescent="0.2">
      <c r="A42" s="137" t="s">
        <v>336</v>
      </c>
      <c r="B42" s="137"/>
      <c r="C42" s="255">
        <f>SUM(C43:C61)</f>
        <v>4201976.2516511837</v>
      </c>
      <c r="D42" s="255" t="s">
        <v>331</v>
      </c>
      <c r="E42" s="255">
        <f>C42+'ICF 25'!C24</f>
        <v>13738884.477784097</v>
      </c>
      <c r="F42" s="255" t="s">
        <v>331</v>
      </c>
      <c r="G42" s="255"/>
      <c r="H42" s="255"/>
    </row>
    <row r="43" spans="1:8" x14ac:dyDescent="0.2">
      <c r="A43" s="140" t="s">
        <v>108</v>
      </c>
      <c r="B43" s="140" t="str">
        <f>VLOOKUP(A43,'Project Data'!$B$10:$AT$28,43,FALSE)</f>
        <v>No</v>
      </c>
      <c r="C43" s="256">
        <f>IF(B43="Yes",VLOOKUP(A43,'Project Data'!$B$3:$AT$28,12,FALSE)*Inputs!$C$5*'GBFF Pot'!$B$5*Inputs!$C$9,0)</f>
        <v>0</v>
      </c>
      <c r="D43" s="256"/>
      <c r="E43" s="256"/>
      <c r="F43" s="256"/>
      <c r="G43" s="256"/>
      <c r="H43" s="256"/>
    </row>
    <row r="44" spans="1:8" x14ac:dyDescent="0.2">
      <c r="A44" s="140" t="s">
        <v>111</v>
      </c>
      <c r="B44" s="140" t="str">
        <f>VLOOKUP(A44,'Project Data'!$B$10:$AT$28,43,FALSE)</f>
        <v>Yes</v>
      </c>
      <c r="C44" s="256">
        <f>IF(B44="Yes",VLOOKUP(A44,'Project Data'!$B$3:$AT$28,12,FALSE)*Inputs!$C$5*'GBFF Pot'!$B$5*Inputs!$C$9,0)</f>
        <v>0</v>
      </c>
      <c r="D44" s="256"/>
      <c r="E44" s="256"/>
      <c r="F44" s="256"/>
      <c r="G44" s="256"/>
      <c r="H44" s="256"/>
    </row>
    <row r="45" spans="1:8" x14ac:dyDescent="0.2">
      <c r="A45" s="140" t="s">
        <v>113</v>
      </c>
      <c r="B45" s="140" t="str">
        <f>VLOOKUP(A45,'Project Data'!$B$10:$AT$28,43,FALSE)</f>
        <v>No</v>
      </c>
      <c r="C45" s="256">
        <f>IF(B45="Yes",VLOOKUP(A45,'Project Data'!$B$3:$AT$28,12,FALSE)*Inputs!$C$5*'GBFF Pot'!$B$5*Inputs!$C$9,0)</f>
        <v>0</v>
      </c>
      <c r="D45" s="256"/>
      <c r="E45" s="256"/>
      <c r="F45" s="256"/>
      <c r="G45" s="256"/>
      <c r="H45" s="256"/>
    </row>
    <row r="46" spans="1:8" x14ac:dyDescent="0.2">
      <c r="A46" s="140" t="s">
        <v>115</v>
      </c>
      <c r="B46" s="140" t="str">
        <f>VLOOKUP(A46,'Project Data'!$B$10:$AT$28,43,FALSE)</f>
        <v>Yes</v>
      </c>
      <c r="C46" s="256">
        <f>IF(B46="Yes",VLOOKUP(A46,'Project Data'!$B$3:$AT$28,12,FALSE)*Inputs!$C$5*'GBFF Pot'!$B$5*Inputs!$C$9,0)</f>
        <v>1929452.4996244234</v>
      </c>
      <c r="D46" s="256"/>
      <c r="E46" s="256"/>
      <c r="F46" s="256"/>
      <c r="G46" s="256"/>
      <c r="H46" s="256"/>
    </row>
    <row r="47" spans="1:8" x14ac:dyDescent="0.2">
      <c r="A47" s="140" t="s">
        <v>117</v>
      </c>
      <c r="B47" s="140" t="str">
        <f>VLOOKUP(A47,'Project Data'!$B$10:$AT$28,43,FALSE)</f>
        <v>Yes</v>
      </c>
      <c r="C47" s="256">
        <f>IF(B47="Yes",VLOOKUP(A47,'Project Data'!$B$3:$AT$28,12,FALSE)*Inputs!$C$5*'GBFF Pot'!$B$5*Inputs!$C$9,0)</f>
        <v>59113.554298370145</v>
      </c>
      <c r="D47" s="256"/>
      <c r="E47" s="256"/>
      <c r="F47" s="256"/>
      <c r="G47" s="256"/>
      <c r="H47" s="256"/>
    </row>
    <row r="48" spans="1:8" x14ac:dyDescent="0.2">
      <c r="A48" s="140" t="s">
        <v>119</v>
      </c>
      <c r="B48" s="140" t="str">
        <f>VLOOKUP(A48,'Project Data'!$B$10:$AT$28,43,FALSE)</f>
        <v>Yes</v>
      </c>
      <c r="C48" s="256">
        <f>IF(B48="Yes",VLOOKUP(A48,'Project Data'!$B$3:$AT$28,12,FALSE)*Inputs!$C$5*'GBFF Pot'!$B$5*Inputs!$C$9,0)</f>
        <v>0</v>
      </c>
      <c r="D48" s="256"/>
      <c r="E48" s="256"/>
      <c r="F48" s="256"/>
      <c r="G48" s="256"/>
      <c r="H48" s="256"/>
    </row>
    <row r="49" spans="1:8" x14ac:dyDescent="0.2">
      <c r="A49" s="140" t="s">
        <v>121</v>
      </c>
      <c r="B49" s="140" t="str">
        <f>VLOOKUP(A49,'Project Data'!$B$10:$AT$28,43,FALSE)</f>
        <v>Yes</v>
      </c>
      <c r="C49" s="256">
        <f>IF(B49="Yes",VLOOKUP(A49,'Project Data'!$B$3:$AT$28,12,FALSE)*Inputs!$C$5*'GBFF Pot'!$B$5*Inputs!$C$9,0)</f>
        <v>927137.02438682201</v>
      </c>
      <c r="D49" s="256"/>
      <c r="E49" s="256"/>
      <c r="F49" s="256"/>
      <c r="G49" s="256"/>
      <c r="H49" s="256"/>
    </row>
    <row r="50" spans="1:8" x14ac:dyDescent="0.2">
      <c r="A50" s="140" t="s">
        <v>123</v>
      </c>
      <c r="B50" s="140" t="str">
        <f>VLOOKUP(A50,'Project Data'!$B$10:$AT$28,43,FALSE)</f>
        <v>No</v>
      </c>
      <c r="C50" s="256">
        <f>IF(B50="Yes",VLOOKUP(A50,'Project Data'!$B$3:$AT$28,12,FALSE)*Inputs!$C$5*'GBFF Pot'!$B$5*Inputs!$C$9,0)</f>
        <v>0</v>
      </c>
      <c r="D50" s="256"/>
      <c r="E50" s="256"/>
      <c r="F50" s="256"/>
      <c r="G50" s="256"/>
      <c r="H50" s="256"/>
    </row>
    <row r="51" spans="1:8" x14ac:dyDescent="0.2">
      <c r="A51" s="140" t="s">
        <v>125</v>
      </c>
      <c r="B51" s="140" t="str">
        <f>VLOOKUP(A51,'Project Data'!$B$10:$AT$28,43,FALSE)</f>
        <v>Yes</v>
      </c>
      <c r="C51" s="256">
        <f>IF(B51="Yes",VLOOKUP(A51,'Project Data'!$B$3:$AT$28,12,FALSE)*Inputs!$C$5*'GBFF Pot'!$B$5*Inputs!$C$9,0)</f>
        <v>8428.5184035165639</v>
      </c>
      <c r="D51" s="256"/>
      <c r="E51" s="256"/>
      <c r="F51" s="256"/>
      <c r="G51" s="256"/>
      <c r="H51" s="256"/>
    </row>
    <row r="52" spans="1:8" x14ac:dyDescent="0.2">
      <c r="A52" s="140" t="s">
        <v>127</v>
      </c>
      <c r="B52" s="140" t="str">
        <f>VLOOKUP(A52,'Project Data'!$B$10:$AT$28,43,FALSE)</f>
        <v>Yes</v>
      </c>
      <c r="C52" s="256">
        <f>IF(B52="Yes",VLOOKUP(A52,'Project Data'!$B$3:$AT$28,12,FALSE)*Inputs!$C$5*'GBFF Pot'!$B$5*Inputs!$C$9,0)</f>
        <v>49166.357353846615</v>
      </c>
      <c r="D52" s="256"/>
      <c r="E52" s="256"/>
      <c r="F52" s="256"/>
      <c r="G52" s="256"/>
      <c r="H52" s="256"/>
    </row>
    <row r="53" spans="1:8" x14ac:dyDescent="0.2">
      <c r="A53" s="140" t="s">
        <v>129</v>
      </c>
      <c r="B53" s="140" t="str">
        <f>VLOOKUP(A53,'Project Data'!$B$10:$AT$28,43,FALSE)</f>
        <v>No</v>
      </c>
      <c r="C53" s="256">
        <f>IF(B53="Yes",VLOOKUP(A53,'Project Data'!$B$3:$AT$28,12,FALSE)*Inputs!$C$5*'GBFF Pot'!$B$5*Inputs!$C$9,0)</f>
        <v>0</v>
      </c>
      <c r="D53" s="256"/>
      <c r="E53" s="256"/>
      <c r="F53" s="256"/>
      <c r="G53" s="256"/>
      <c r="H53" s="256"/>
    </row>
    <row r="54" spans="1:8" x14ac:dyDescent="0.2">
      <c r="A54" s="140" t="s">
        <v>131</v>
      </c>
      <c r="B54" s="140" t="str">
        <f>VLOOKUP(A54,'Project Data'!$B$10:$AT$28,43,FALSE)</f>
        <v>Yes</v>
      </c>
      <c r="C54" s="256">
        <f>IF(B54="Yes",VLOOKUP(A54,'Project Data'!$B$3:$AT$28,12,FALSE)*Inputs!$C$5*'GBFF Pot'!$B$5*Inputs!$C$9,0)</f>
        <v>108270.6402819729</v>
      </c>
      <c r="D54" s="256"/>
      <c r="E54" s="256"/>
      <c r="F54" s="256"/>
      <c r="G54" s="256"/>
      <c r="H54" s="256"/>
    </row>
    <row r="55" spans="1:8" x14ac:dyDescent="0.2">
      <c r="A55" s="140" t="s">
        <v>133</v>
      </c>
      <c r="B55" s="140" t="str">
        <f>VLOOKUP(A55,'Project Data'!$B$10:$AT$28,43,FALSE)</f>
        <v>Yes</v>
      </c>
      <c r="C55" s="256">
        <f>IF(B55="Yes",VLOOKUP(A55,'Project Data'!$B$3:$AT$28,12,FALSE)*Inputs!$C$5*'GBFF Pot'!$B$5*Inputs!$C$9,0)</f>
        <v>702376.53362638026</v>
      </c>
      <c r="D55" s="256"/>
      <c r="E55" s="256"/>
      <c r="F55" s="256"/>
      <c r="G55" s="256"/>
      <c r="H55" s="256"/>
    </row>
    <row r="56" spans="1:8" x14ac:dyDescent="0.2">
      <c r="A56" s="140" t="s">
        <v>135</v>
      </c>
      <c r="B56" s="140" t="str">
        <f>VLOOKUP(A56,'Project Data'!$B$10:$AT$28,43,FALSE)</f>
        <v>Yes</v>
      </c>
      <c r="C56" s="256">
        <f>IF(B56="Yes",VLOOKUP(A56,'Project Data'!$B$3:$AT$28,12,FALSE)*Inputs!$C$5*'GBFF Pot'!$B$5*Inputs!$C$9,0)</f>
        <v>140475.30672527605</v>
      </c>
      <c r="D56" s="256"/>
      <c r="E56" s="256"/>
      <c r="F56" s="256"/>
      <c r="G56" s="256"/>
      <c r="H56" s="256"/>
    </row>
    <row r="57" spans="1:8" x14ac:dyDescent="0.2">
      <c r="A57" s="140" t="s">
        <v>137</v>
      </c>
      <c r="B57" s="140" t="str">
        <f>VLOOKUP(A57,'Project Data'!$B$10:$AT$28,43,FALSE)</f>
        <v>Yes</v>
      </c>
      <c r="C57" s="256">
        <f>IF(B57="Yes",VLOOKUP(A57,'Project Data'!$B$3:$AT$28,12,FALSE)*Inputs!$C$5*'GBFF Pot'!$B$5*Inputs!$C$9,0)</f>
        <v>187300.43237958587</v>
      </c>
      <c r="D57" s="256"/>
      <c r="E57" s="256"/>
      <c r="F57" s="256"/>
      <c r="G57" s="256"/>
      <c r="H57" s="256"/>
    </row>
    <row r="58" spans="1:8" x14ac:dyDescent="0.2">
      <c r="A58" s="140" t="s">
        <v>139</v>
      </c>
      <c r="B58" s="140" t="str">
        <f>VLOOKUP(A58,'Project Data'!$B$10:$AT$28,43,FALSE)</f>
        <v>No</v>
      </c>
      <c r="C58" s="256">
        <f>IF(B58="Yes",VLOOKUP(A58,'Project Data'!$B$3:$AT$28,12,FALSE)*Inputs!$C$5*'GBFF Pot'!$B$5*Inputs!$C$9,0)</f>
        <v>0</v>
      </c>
      <c r="D58" s="256"/>
      <c r="E58" s="256"/>
      <c r="F58" s="256"/>
      <c r="G58" s="256"/>
      <c r="H58" s="256"/>
    </row>
    <row r="59" spans="1:8" x14ac:dyDescent="0.2">
      <c r="A59" s="140" t="s">
        <v>141</v>
      </c>
      <c r="B59" s="140" t="str">
        <f>VLOOKUP(A59,'Project Data'!$B$10:$AT$28,43,FALSE)</f>
        <v>Yes</v>
      </c>
      <c r="C59" s="256">
        <f>IF(B59="Yes",VLOOKUP(A59,'Project Data'!$B$3:$AT$28,12,FALSE)*Inputs!$C$5*'GBFF Pot'!$B$5*Inputs!$C$9,0)</f>
        <v>90255.38457098986</v>
      </c>
      <c r="D59" s="256"/>
      <c r="E59" s="256"/>
      <c r="F59" s="256"/>
      <c r="G59" s="256"/>
      <c r="H59" s="256"/>
    </row>
    <row r="60" spans="1:8" x14ac:dyDescent="0.2">
      <c r="A60" s="140" t="s">
        <v>143</v>
      </c>
      <c r="B60" s="140" t="str">
        <f>VLOOKUP(A60,'Project Data'!$B$10:$AT$28,43,FALSE)</f>
        <v>No</v>
      </c>
      <c r="C60" s="256">
        <f>IF(B60="Yes",VLOOKUP(A60,'Project Data'!$B$3:$AT$28,12,FALSE)*Inputs!$C$5*'GBFF Pot'!$B$5*Inputs!$C$9,0)</f>
        <v>0</v>
      </c>
      <c r="D60" s="256"/>
      <c r="E60" s="256"/>
      <c r="F60" s="256"/>
      <c r="G60" s="256"/>
      <c r="H60" s="256"/>
    </row>
    <row r="61" spans="1:8" x14ac:dyDescent="0.2">
      <c r="A61" s="140" t="s">
        <v>145</v>
      </c>
      <c r="B61" s="140" t="str">
        <f>VLOOKUP(A61,'Project Data'!$B$10:$AT$28,43,FALSE)</f>
        <v>No</v>
      </c>
      <c r="C61" s="256">
        <f>IF(B61="Yes",VLOOKUP(A61,'Project Data'!$B$3:$AT$28,12,FALSE)*Inputs!$C$5*'GBFF Pot'!$B$5*Inputs!$C$9,0)</f>
        <v>0</v>
      </c>
      <c r="D61" s="256"/>
      <c r="E61" s="256"/>
      <c r="F61" s="256"/>
      <c r="G61" s="256"/>
      <c r="H61" s="256"/>
    </row>
    <row r="62" spans="1:8" x14ac:dyDescent="0.2">
      <c r="A62" s="139" t="s">
        <v>337</v>
      </c>
      <c r="B62" s="139"/>
      <c r="C62" s="254">
        <f>SUM(C63:C81)</f>
        <v>1461231.5155099244</v>
      </c>
      <c r="D62" s="254" t="s">
        <v>331</v>
      </c>
      <c r="E62" s="254">
        <f>C62+'ICF 25'!C35</f>
        <v>2662143.7728614374</v>
      </c>
      <c r="F62" s="254" t="s">
        <v>331</v>
      </c>
      <c r="G62" s="254"/>
      <c r="H62" s="254"/>
    </row>
    <row r="63" spans="1:8" x14ac:dyDescent="0.2">
      <c r="A63" s="141" t="s">
        <v>108</v>
      </c>
      <c r="B63" s="141" t="str">
        <f>VLOOKUP(A63,'Project Data'!$B$10:$AT$28,43,FALSE)</f>
        <v>No</v>
      </c>
      <c r="C63" s="253" t="str">
        <f>IF(B63="Yes",VLOOKUP(A63,'Project Data'!$B$3:$AT$28,11,FALSE)*Inputs!$C$5*'GBFF Pot'!$B$5*Inputs!$C$9,"-")</f>
        <v>-</v>
      </c>
      <c r="D63" s="253"/>
      <c r="E63" s="253"/>
      <c r="F63" s="253"/>
      <c r="G63" s="253"/>
      <c r="H63" s="253"/>
    </row>
    <row r="64" spans="1:8" x14ac:dyDescent="0.2">
      <c r="A64" s="141" t="s">
        <v>111</v>
      </c>
      <c r="B64" s="141" t="str">
        <f>VLOOKUP(A64,'Project Data'!$B$10:$AT$28,43,FALSE)</f>
        <v>Yes</v>
      </c>
      <c r="C64" s="253">
        <f>IF(B64="Yes",VLOOKUP(A64,'Project Data'!$B$3:$AT$28,11,FALSE)*Inputs!$C$5*'GBFF Pot'!$B$5*Inputs!$C$9,"-")</f>
        <v>0</v>
      </c>
      <c r="D64" s="253"/>
      <c r="E64" s="253"/>
      <c r="F64" s="253"/>
      <c r="G64" s="253"/>
      <c r="H64" s="253"/>
    </row>
    <row r="65" spans="1:8" x14ac:dyDescent="0.2">
      <c r="A65" s="141" t="s">
        <v>113</v>
      </c>
      <c r="B65" s="141" t="str">
        <f>VLOOKUP(A65,'Project Data'!$B$10:$AT$28,43,FALSE)</f>
        <v>No</v>
      </c>
      <c r="C65" s="253" t="str">
        <f>IF(B65="Yes",VLOOKUP(A65,'Project Data'!$B$3:$AT$28,11,FALSE)*Inputs!$C$5*'GBFF Pot'!$B$5*Inputs!$C$9,"-")</f>
        <v>-</v>
      </c>
      <c r="D65" s="253"/>
      <c r="E65" s="253"/>
      <c r="F65" s="253"/>
      <c r="G65" s="253"/>
      <c r="H65" s="253"/>
    </row>
    <row r="66" spans="1:8" x14ac:dyDescent="0.2">
      <c r="A66" s="141" t="s">
        <v>115</v>
      </c>
      <c r="B66" s="141" t="str">
        <f>VLOOKUP(A66,'Project Data'!$B$10:$AT$28,43,FALSE)</f>
        <v>Yes</v>
      </c>
      <c r="C66" s="253">
        <f>IF(B66="Yes",VLOOKUP(A66,'Project Data'!$B$3:$AT$28,11,FALSE)*Inputs!$C$5*'GBFF Pot'!$B$5*Inputs!$C$9,"-")</f>
        <v>371857.17130586697</v>
      </c>
      <c r="D66" s="253"/>
      <c r="E66" s="253"/>
      <c r="F66" s="253"/>
      <c r="G66" s="253"/>
      <c r="H66" s="253"/>
    </row>
    <row r="67" spans="1:8" x14ac:dyDescent="0.2">
      <c r="A67" s="141" t="s">
        <v>117</v>
      </c>
      <c r="B67" s="141" t="str">
        <f>VLOOKUP(A67,'Project Data'!$B$10:$AT$28,43,FALSE)</f>
        <v>Yes</v>
      </c>
      <c r="C67" s="253">
        <f>IF(B67="Yes",VLOOKUP(A67,'Project Data'!$B$3:$AT$28,11,FALSE)*Inputs!$C$5*'GBFF Pot'!$B$5*Inputs!$C$9,"-")</f>
        <v>5619.012269011042</v>
      </c>
      <c r="D67" s="253"/>
      <c r="E67" s="253"/>
      <c r="F67" s="253"/>
      <c r="G67" s="253"/>
      <c r="H67" s="253"/>
    </row>
    <row r="68" spans="1:8" x14ac:dyDescent="0.2">
      <c r="A68" s="141" t="s">
        <v>119</v>
      </c>
      <c r="B68" s="141" t="str">
        <f>VLOOKUP(A68,'Project Data'!$B$10:$AT$28,43,FALSE)</f>
        <v>Yes</v>
      </c>
      <c r="C68" s="253">
        <f>IF(B68="Yes",VLOOKUP(A68,'Project Data'!$B$3:$AT$28,11,FALSE)*Inputs!$C$5*'GBFF Pot'!$B$5*Inputs!$C$9,"-")</f>
        <v>0</v>
      </c>
      <c r="D68" s="253"/>
      <c r="E68" s="253"/>
      <c r="F68" s="253"/>
      <c r="G68" s="253"/>
      <c r="H68" s="253"/>
    </row>
    <row r="69" spans="1:8" x14ac:dyDescent="0.2">
      <c r="A69" s="141" t="s">
        <v>121</v>
      </c>
      <c r="B69" s="141" t="str">
        <f>VLOOKUP(A69,'Project Data'!$B$10:$AT$28,43,FALSE)</f>
        <v>Yes</v>
      </c>
      <c r="C69" s="253">
        <f>IF(B69="Yes",VLOOKUP(A69,'Project Data'!$B$3:$AT$28,11,FALSE)*Inputs!$C$5*'GBFF Pot'!$B$5*Inputs!$C$9,"-")</f>
        <v>0</v>
      </c>
      <c r="D69" s="253"/>
      <c r="E69" s="253"/>
      <c r="F69" s="253"/>
      <c r="G69" s="253"/>
      <c r="H69" s="253"/>
    </row>
    <row r="70" spans="1:8" x14ac:dyDescent="0.2">
      <c r="A70" s="141" t="s">
        <v>123</v>
      </c>
      <c r="B70" s="141" t="str">
        <f>VLOOKUP(A70,'Project Data'!$B$10:$AT$28,43,FALSE)</f>
        <v>No</v>
      </c>
      <c r="C70" s="253" t="str">
        <f>IF(B70="Yes",VLOOKUP(A70,'Project Data'!$B$3:$AT$28,11,FALSE)*Inputs!$C$5*'GBFF Pot'!$B$5*Inputs!$C$9,"-")</f>
        <v>-</v>
      </c>
      <c r="D70" s="253"/>
      <c r="E70" s="253"/>
      <c r="F70" s="253"/>
      <c r="G70" s="253"/>
      <c r="H70" s="253"/>
    </row>
    <row r="71" spans="1:8" x14ac:dyDescent="0.2">
      <c r="A71" s="141" t="s">
        <v>125</v>
      </c>
      <c r="B71" s="141" t="str">
        <f>VLOOKUP(A71,'Project Data'!$B$10:$AT$28,43,FALSE)</f>
        <v>Yes</v>
      </c>
      <c r="C71" s="253">
        <f>IF(B71="Yes",VLOOKUP(A71,'Project Data'!$B$3:$AT$28,11,FALSE)*Inputs!$C$5*'GBFF Pot'!$B$5*Inputs!$C$9,"-")</f>
        <v>0</v>
      </c>
      <c r="D71" s="253"/>
      <c r="E71" s="253"/>
      <c r="F71" s="253"/>
      <c r="G71" s="253"/>
      <c r="H71" s="253"/>
    </row>
    <row r="72" spans="1:8" x14ac:dyDescent="0.2">
      <c r="A72" s="141" t="s">
        <v>127</v>
      </c>
      <c r="B72" s="141" t="str">
        <f>VLOOKUP(A72,'Project Data'!$B$10:$AT$28,43,FALSE)</f>
        <v>Yes</v>
      </c>
      <c r="C72" s="253">
        <f>IF(B72="Yes",VLOOKUP(A72,'Project Data'!$B$3:$AT$28,11,FALSE)*Inputs!$C$5*'GBFF Pot'!$B$5*Inputs!$C$9,"-")</f>
        <v>0</v>
      </c>
      <c r="D72" s="253"/>
      <c r="E72" s="253"/>
      <c r="F72" s="253"/>
      <c r="G72" s="253"/>
      <c r="H72" s="253"/>
    </row>
    <row r="73" spans="1:8" x14ac:dyDescent="0.2">
      <c r="A73" s="141" t="s">
        <v>129</v>
      </c>
      <c r="B73" s="141" t="str">
        <f>VLOOKUP(A73,'Project Data'!$B$10:$AT$28,43,FALSE)</f>
        <v>No</v>
      </c>
      <c r="C73" s="253" t="str">
        <f>IF(B73="Yes",VLOOKUP(A73,'Project Data'!$B$3:$AT$28,11,FALSE)*Inputs!$C$5*'GBFF Pot'!$B$5*Inputs!$C$9,"-")</f>
        <v>-</v>
      </c>
      <c r="D73" s="253"/>
      <c r="E73" s="253"/>
      <c r="F73" s="253"/>
      <c r="G73" s="253"/>
      <c r="H73" s="253"/>
    </row>
    <row r="74" spans="1:8" x14ac:dyDescent="0.2">
      <c r="A74" s="141" t="s">
        <v>131</v>
      </c>
      <c r="B74" s="141" t="str">
        <f>VLOOKUP(A74,'Project Data'!$B$10:$AT$28,43,FALSE)</f>
        <v>Yes</v>
      </c>
      <c r="C74" s="253">
        <f>IF(B74="Yes",VLOOKUP(A74,'Project Data'!$B$3:$AT$28,11,FALSE)*Inputs!$C$5*'GBFF Pot'!$B$5*Inputs!$C$9,"-")</f>
        <v>1083755.3319350465</v>
      </c>
      <c r="D74" s="253"/>
      <c r="E74" s="253"/>
      <c r="F74" s="253"/>
      <c r="G74" s="253"/>
      <c r="H74" s="253"/>
    </row>
    <row r="75" spans="1:8" x14ac:dyDescent="0.2">
      <c r="A75" s="141" t="s">
        <v>133</v>
      </c>
      <c r="B75" s="141" t="str">
        <f>VLOOKUP(A75,'Project Data'!$B$10:$AT$28,43,FALSE)</f>
        <v>Yes</v>
      </c>
      <c r="C75" s="253">
        <f>IF(B75="Yes",VLOOKUP(A75,'Project Data'!$B$3:$AT$28,11,FALSE)*Inputs!$C$5*'GBFF Pot'!$B$5*Inputs!$C$9,"-")</f>
        <v>0</v>
      </c>
      <c r="D75" s="253"/>
      <c r="E75" s="253"/>
      <c r="F75" s="253"/>
      <c r="G75" s="253"/>
      <c r="H75" s="253"/>
    </row>
    <row r="76" spans="1:8" x14ac:dyDescent="0.2">
      <c r="A76" s="141" t="s">
        <v>135</v>
      </c>
      <c r="B76" s="141" t="str">
        <f>VLOOKUP(A76,'Project Data'!$B$10:$AT$28,43,FALSE)</f>
        <v>Yes</v>
      </c>
      <c r="C76" s="253">
        <f>IF(B76="Yes",VLOOKUP(A76,'Project Data'!$B$3:$AT$28,11,FALSE)*Inputs!$C$5*'GBFF Pot'!$B$5*Inputs!$C$9,"-")</f>
        <v>0</v>
      </c>
      <c r="D76" s="253"/>
      <c r="E76" s="253"/>
      <c r="F76" s="253"/>
      <c r="G76" s="253"/>
      <c r="H76" s="253"/>
    </row>
    <row r="77" spans="1:8" x14ac:dyDescent="0.2">
      <c r="A77" s="141" t="s">
        <v>137</v>
      </c>
      <c r="B77" s="141" t="str">
        <f>VLOOKUP(A77,'Project Data'!$B$10:$AT$28,43,FALSE)</f>
        <v>Yes</v>
      </c>
      <c r="C77" s="253">
        <f>IF(B77="Yes",VLOOKUP(A77,'Project Data'!$B$3:$AT$28,11,FALSE)*Inputs!$C$5*'GBFF Pot'!$B$5*Inputs!$C$9,"-")</f>
        <v>0</v>
      </c>
      <c r="D77" s="253"/>
      <c r="E77" s="253"/>
      <c r="F77" s="253"/>
      <c r="G77" s="253"/>
      <c r="H77" s="253"/>
    </row>
    <row r="78" spans="1:8" x14ac:dyDescent="0.2">
      <c r="A78" s="141" t="s">
        <v>139</v>
      </c>
      <c r="B78" s="141" t="str">
        <f>VLOOKUP(A78,'Project Data'!$B$10:$AT$28,43,FALSE)</f>
        <v>No</v>
      </c>
      <c r="C78" s="253" t="str">
        <f>IF(B78="Yes",VLOOKUP(A78,'Project Data'!$B$3:$AT$28,11,FALSE)*Inputs!$C$5*'GBFF Pot'!$B$5*Inputs!$C$9,"-")</f>
        <v>-</v>
      </c>
      <c r="D78" s="253"/>
      <c r="E78" s="253"/>
      <c r="F78" s="253"/>
      <c r="G78" s="253"/>
      <c r="H78" s="253"/>
    </row>
    <row r="79" spans="1:8" x14ac:dyDescent="0.2">
      <c r="A79" s="141" t="s">
        <v>141</v>
      </c>
      <c r="B79" s="141" t="str">
        <f>VLOOKUP(A79,'Project Data'!$B$10:$AT$28,43,FALSE)</f>
        <v>Yes</v>
      </c>
      <c r="C79" s="253">
        <f>IF(B79="Yes",VLOOKUP(A79,'Project Data'!$B$3:$AT$28,11,FALSE)*Inputs!$C$5*'GBFF Pot'!$B$5*Inputs!$C$9,"-")</f>
        <v>0</v>
      </c>
      <c r="D79" s="253"/>
      <c r="E79" s="253"/>
      <c r="F79" s="253"/>
      <c r="G79" s="253"/>
      <c r="H79" s="253"/>
    </row>
    <row r="80" spans="1:8" x14ac:dyDescent="0.2">
      <c r="A80" s="141" t="s">
        <v>143</v>
      </c>
      <c r="B80" s="141" t="str">
        <f>VLOOKUP(A80,'Project Data'!$B$10:$AT$28,43,FALSE)</f>
        <v>No</v>
      </c>
      <c r="C80" s="253" t="str">
        <f>IF(B80="Yes",VLOOKUP(A80,'Project Data'!$B$3:$AT$28,11,FALSE)*Inputs!$C$5*'GBFF Pot'!$B$5*Inputs!$C$9,"-")</f>
        <v>-</v>
      </c>
      <c r="D80" s="253"/>
      <c r="E80" s="253"/>
      <c r="F80" s="253"/>
      <c r="G80" s="253"/>
      <c r="H80" s="253"/>
    </row>
    <row r="81" spans="1:8" x14ac:dyDescent="0.2">
      <c r="A81" s="141" t="s">
        <v>145</v>
      </c>
      <c r="B81" s="141" t="str">
        <f>VLOOKUP(A81,'Project Data'!$B$10:$AT$28,43,FALSE)</f>
        <v>No</v>
      </c>
      <c r="C81" s="253" t="str">
        <f>IF(B81="Yes",VLOOKUP(A81,'Project Data'!$B$3:$AT$28,11,FALSE)*Inputs!$C$5*'GBFF Pot'!$B$5*Inputs!$C$9,"-")</f>
        <v>-</v>
      </c>
      <c r="D81" s="253"/>
      <c r="E81" s="253"/>
      <c r="F81" s="253"/>
      <c r="G81" s="253"/>
      <c r="H81" s="253"/>
    </row>
    <row r="82" spans="1:8" x14ac:dyDescent="0.2">
      <c r="A82" s="142" t="s">
        <v>338</v>
      </c>
      <c r="B82" s="142"/>
      <c r="C82" s="96">
        <f>SUM(C83:C101)</f>
        <v>1191871.23239814</v>
      </c>
      <c r="D82" s="96">
        <f>Milestones!F7-Milestones!E7</f>
        <v>3461775.0200000005</v>
      </c>
      <c r="E82" s="96">
        <f>C82+'ICF 25'!C46</f>
        <v>6537536.9438723102</v>
      </c>
      <c r="F82" s="96">
        <f>Milestones!F7</f>
        <v>6923550.040000001</v>
      </c>
      <c r="G82" s="96"/>
      <c r="H82" s="96"/>
    </row>
    <row r="83" spans="1:8" x14ac:dyDescent="0.2">
      <c r="A83" s="143" t="s">
        <v>108</v>
      </c>
      <c r="B83" s="143" t="s">
        <v>94</v>
      </c>
      <c r="C83" s="97"/>
      <c r="D83" s="97"/>
      <c r="E83" s="97"/>
      <c r="F83" s="97"/>
      <c r="G83" s="97"/>
      <c r="H83" s="97"/>
    </row>
    <row r="84" spans="1:8" x14ac:dyDescent="0.2">
      <c r="A84" s="143" t="s">
        <v>111</v>
      </c>
      <c r="B84" s="143" t="s">
        <v>93</v>
      </c>
      <c r="C84" s="97">
        <f>VLOOKUP(A84,'Project Data'!$B$3:$AT$28,45,FALSE)*Inputs!$C$3*Inputs!$C$4*'GBFF Pot'!$B$5</f>
        <v>0</v>
      </c>
      <c r="D84" s="97"/>
      <c r="E84" s="97"/>
      <c r="F84" s="97"/>
      <c r="G84" s="97"/>
      <c r="H84" s="97"/>
    </row>
    <row r="85" spans="1:8" x14ac:dyDescent="0.2">
      <c r="A85" s="143" t="s">
        <v>113</v>
      </c>
      <c r="B85" s="143" t="s">
        <v>94</v>
      </c>
      <c r="C85" s="97"/>
      <c r="D85" s="97"/>
      <c r="E85" s="97"/>
      <c r="F85" s="97"/>
      <c r="G85" s="97"/>
      <c r="H85" s="97"/>
    </row>
    <row r="86" spans="1:8" x14ac:dyDescent="0.2">
      <c r="A86" s="143" t="s">
        <v>115</v>
      </c>
      <c r="B86" s="143" t="s">
        <v>93</v>
      </c>
      <c r="C86" s="97">
        <f>VLOOKUP(A86,'Project Data'!$B$3:$AT$28,45,FALSE)*Inputs!$C$3*Inputs!$C$4*'GBFF Pot'!$B$5</f>
        <v>235100.4597590678</v>
      </c>
      <c r="D86" s="97"/>
      <c r="E86" s="97"/>
      <c r="F86" s="97"/>
      <c r="G86" s="97"/>
      <c r="H86" s="97"/>
    </row>
    <row r="87" spans="1:8" x14ac:dyDescent="0.2">
      <c r="A87" s="143" t="s">
        <v>117</v>
      </c>
      <c r="B87" s="143" t="s">
        <v>93</v>
      </c>
      <c r="C87" s="97">
        <f>VLOOKUP(A87,'Project Data'!$B$3:$AT$28,45,FALSE)*Inputs!$C$3*Inputs!$C$4*'GBFF Pot'!$B$5</f>
        <v>7885.120644436799</v>
      </c>
      <c r="D87" s="97"/>
      <c r="E87" s="97"/>
      <c r="F87" s="97"/>
      <c r="G87" s="97"/>
      <c r="H87" s="97"/>
    </row>
    <row r="88" spans="1:8" x14ac:dyDescent="0.2">
      <c r="A88" s="143" t="s">
        <v>119</v>
      </c>
      <c r="B88" s="143" t="s">
        <v>93</v>
      </c>
      <c r="C88" s="97">
        <f>VLOOKUP(A88,'Project Data'!$B$3:$AT$28,45,FALSE)*Inputs!$C$3*Inputs!$C$4*'GBFF Pot'!$B$5</f>
        <v>2878.248405570761</v>
      </c>
      <c r="D88" s="97"/>
      <c r="E88" s="97"/>
      <c r="F88" s="97"/>
      <c r="G88" s="97"/>
      <c r="H88" s="97"/>
    </row>
    <row r="89" spans="1:8" ht="14.25" customHeight="1" x14ac:dyDescent="0.2">
      <c r="A89" s="143" t="s">
        <v>121</v>
      </c>
      <c r="B89" s="143" t="s">
        <v>93</v>
      </c>
      <c r="C89" s="97">
        <f>VLOOKUP(A89,'Project Data'!$B$3:$AT$28,45,FALSE)*Inputs!$C$3*Inputs!$C$4*'GBFF Pot'!$B$5</f>
        <v>41036.779465964457</v>
      </c>
      <c r="D89" s="97"/>
      <c r="E89" s="97"/>
      <c r="F89" s="97"/>
      <c r="G89" s="97"/>
      <c r="H89" s="97"/>
    </row>
    <row r="90" spans="1:8" x14ac:dyDescent="0.2">
      <c r="A90" s="143" t="s">
        <v>123</v>
      </c>
      <c r="B90" s="143" t="s">
        <v>94</v>
      </c>
      <c r="C90" s="97"/>
      <c r="D90" s="97"/>
      <c r="E90" s="97"/>
      <c r="F90" s="97"/>
      <c r="G90" s="97"/>
      <c r="H90" s="97"/>
    </row>
    <row r="91" spans="1:8" x14ac:dyDescent="0.2">
      <c r="A91" s="143" t="s">
        <v>125</v>
      </c>
      <c r="B91" s="143" t="s">
        <v>93</v>
      </c>
      <c r="C91" s="97">
        <f>VLOOKUP(A91,'Project Data'!$B$3:$AT$28,45,FALSE)*Inputs!$C$3*Inputs!$C$4*'GBFF Pot'!$B$5</f>
        <v>48.78873556157437</v>
      </c>
      <c r="D91" s="97"/>
      <c r="E91" s="97"/>
      <c r="F91" s="97"/>
      <c r="G91" s="97"/>
      <c r="H91" s="97"/>
    </row>
    <row r="92" spans="1:8" x14ac:dyDescent="0.2">
      <c r="A92" s="143" t="s">
        <v>127</v>
      </c>
      <c r="B92" s="143" t="s">
        <v>93</v>
      </c>
      <c r="C92" s="97">
        <f>VLOOKUP(A92,'Project Data'!$B$3:$AT$28,45,FALSE)*Inputs!$C$3*Inputs!$C$4*'GBFF Pot'!$B$5</f>
        <v>1721.9553727614484</v>
      </c>
      <c r="D92" s="97"/>
      <c r="E92" s="97"/>
      <c r="F92" s="97"/>
      <c r="G92" s="97"/>
      <c r="H92" s="97"/>
    </row>
    <row r="93" spans="1:8" x14ac:dyDescent="0.2">
      <c r="A93" s="143" t="s">
        <v>129</v>
      </c>
      <c r="B93" s="143" t="s">
        <v>94</v>
      </c>
      <c r="C93" s="97"/>
      <c r="D93" s="97"/>
      <c r="E93" s="97"/>
      <c r="F93" s="97"/>
      <c r="G93" s="97"/>
      <c r="H93" s="97"/>
    </row>
    <row r="94" spans="1:8" x14ac:dyDescent="0.2">
      <c r="A94" s="143" t="s">
        <v>131</v>
      </c>
      <c r="B94" s="143" t="s">
        <v>93</v>
      </c>
      <c r="C94" s="97">
        <f>VLOOKUP(A94,'Project Data'!$B$3:$AT$28,45,FALSE)*Inputs!$C$3*Inputs!$C$4*'GBFF Pot'!$B$5</f>
        <v>833802.36067292735</v>
      </c>
      <c r="D94" s="97"/>
      <c r="E94" s="97"/>
      <c r="F94" s="97"/>
      <c r="G94" s="97"/>
      <c r="H94" s="97"/>
    </row>
    <row r="95" spans="1:8" x14ac:dyDescent="0.2">
      <c r="A95" s="143" t="s">
        <v>133</v>
      </c>
      <c r="B95" s="143" t="s">
        <v>93</v>
      </c>
      <c r="C95" s="97">
        <f>VLOOKUP(A95,'Project Data'!$B$3:$AT$28,45,FALSE)*Inputs!$C$3*Inputs!$C$4*'GBFF Pot'!$B$5</f>
        <v>4455.5595270202475</v>
      </c>
      <c r="D95" s="97"/>
      <c r="E95" s="97"/>
      <c r="F95" s="97"/>
      <c r="G95" s="97"/>
      <c r="H95" s="97"/>
    </row>
    <row r="96" spans="1:8" x14ac:dyDescent="0.2">
      <c r="A96" s="143" t="s">
        <v>135</v>
      </c>
      <c r="B96" s="143" t="s">
        <v>93</v>
      </c>
      <c r="C96" s="97">
        <f>VLOOKUP(A96,'Project Data'!$B$3:$AT$28,45,FALSE)*Inputs!$C$3*Inputs!$C$4*'GBFF Pot'!$B$5</f>
        <v>36.582941894316967</v>
      </c>
      <c r="D96" s="97"/>
      <c r="E96" s="97"/>
      <c r="F96" s="97"/>
      <c r="G96" s="97"/>
      <c r="H96" s="97"/>
    </row>
    <row r="97" spans="1:8" x14ac:dyDescent="0.2">
      <c r="A97" s="143" t="s">
        <v>137</v>
      </c>
      <c r="B97" s="143" t="s">
        <v>93</v>
      </c>
      <c r="C97" s="97">
        <f>VLOOKUP(A97,'Project Data'!$B$3:$AT$28,45,FALSE)*Inputs!$C$3*Inputs!$C$4*'GBFF Pot'!$B$5</f>
        <v>7805.767201008709</v>
      </c>
      <c r="D97" s="97"/>
      <c r="E97" s="97"/>
      <c r="F97" s="97"/>
      <c r="G97" s="97"/>
      <c r="H97" s="97"/>
    </row>
    <row r="98" spans="1:8" x14ac:dyDescent="0.2">
      <c r="A98" s="143" t="s">
        <v>139</v>
      </c>
      <c r="B98" s="143" t="s">
        <v>94</v>
      </c>
      <c r="C98" s="97"/>
      <c r="D98" s="97"/>
      <c r="E98" s="97"/>
      <c r="F98" s="97"/>
      <c r="G98" s="97"/>
      <c r="H98" s="97"/>
    </row>
    <row r="99" spans="1:8" x14ac:dyDescent="0.2">
      <c r="A99" s="143" t="s">
        <v>141</v>
      </c>
      <c r="B99" s="143" t="s">
        <v>93</v>
      </c>
      <c r="C99" s="97">
        <f>VLOOKUP(A99,'Project Data'!$B$3:$AT$28,45,FALSE)*Inputs!$C$3*Inputs!$C$4*'GBFF Pot'!$B$5</f>
        <v>57099.609671926446</v>
      </c>
      <c r="D99" s="97"/>
      <c r="E99" s="97"/>
      <c r="F99" s="97"/>
      <c r="G99" s="97"/>
      <c r="H99" s="97"/>
    </row>
    <row r="100" spans="1:8" x14ac:dyDescent="0.2">
      <c r="A100" s="143" t="s">
        <v>143</v>
      </c>
      <c r="B100" s="143" t="s">
        <v>94</v>
      </c>
      <c r="C100" s="97"/>
      <c r="D100" s="97"/>
      <c r="E100" s="97"/>
      <c r="F100" s="97"/>
      <c r="G100" s="97"/>
      <c r="H100" s="97"/>
    </row>
    <row r="101" spans="1:8" x14ac:dyDescent="0.2">
      <c r="A101" s="143" t="s">
        <v>145</v>
      </c>
      <c r="B101" s="143" t="s">
        <v>94</v>
      </c>
      <c r="C101" s="97"/>
      <c r="D101" s="97"/>
      <c r="E101" s="97"/>
      <c r="F101" s="97"/>
      <c r="G101" s="97"/>
      <c r="H101" s="97"/>
    </row>
    <row r="102" spans="1:8" x14ac:dyDescent="0.2">
      <c r="A102" s="144" t="s">
        <v>339</v>
      </c>
      <c r="B102" s="144">
        <f>COUNTIF(B103:B121,"Yes")</f>
        <v>12</v>
      </c>
      <c r="C102" s="120"/>
      <c r="D102" s="144" t="s">
        <v>331</v>
      </c>
      <c r="E102" s="144">
        <f>B102+'ICF 25'!C57</f>
        <v>20</v>
      </c>
      <c r="F102" s="144" t="s">
        <v>331</v>
      </c>
      <c r="G102" s="144">
        <f>B102</f>
        <v>12</v>
      </c>
      <c r="H102" s="144"/>
    </row>
    <row r="103" spans="1:8" x14ac:dyDescent="0.2">
      <c r="A103" s="145" t="s">
        <v>108</v>
      </c>
      <c r="B103" s="145" t="str">
        <f>VLOOKUP(A103,'Project Data'!$B$10:$AT$28,43,FALSE)</f>
        <v>No</v>
      </c>
      <c r="C103" s="145"/>
      <c r="D103" s="145"/>
      <c r="E103" s="145"/>
      <c r="F103" s="145"/>
      <c r="G103" s="145"/>
      <c r="H103" s="145"/>
    </row>
    <row r="104" spans="1:8" x14ac:dyDescent="0.2">
      <c r="A104" s="145" t="s">
        <v>111</v>
      </c>
      <c r="B104" s="145" t="str">
        <f>VLOOKUP(A104,'Project Data'!$B$10:$AT$28,43,FALSE)</f>
        <v>Yes</v>
      </c>
      <c r="C104" s="145"/>
      <c r="D104" s="145"/>
      <c r="E104" s="145"/>
      <c r="F104" s="145"/>
      <c r="G104" s="145"/>
      <c r="H104" s="145"/>
    </row>
    <row r="105" spans="1:8" x14ac:dyDescent="0.2">
      <c r="A105" s="145" t="s">
        <v>113</v>
      </c>
      <c r="B105" s="145" t="str">
        <f>VLOOKUP(A105,'Project Data'!$B$10:$AT$28,43,FALSE)</f>
        <v>No</v>
      </c>
      <c r="C105" s="145"/>
      <c r="D105" s="145"/>
      <c r="E105" s="145"/>
      <c r="F105" s="145"/>
      <c r="G105" s="145"/>
      <c r="H105" s="145"/>
    </row>
    <row r="106" spans="1:8" x14ac:dyDescent="0.2">
      <c r="A106" s="145" t="s">
        <v>115</v>
      </c>
      <c r="B106" s="145" t="str">
        <f>VLOOKUP(A106,'Project Data'!$B$10:$AT$28,43,FALSE)</f>
        <v>Yes</v>
      </c>
      <c r="C106" s="145"/>
      <c r="D106" s="145"/>
      <c r="E106" s="145"/>
      <c r="F106" s="145"/>
      <c r="G106" s="145"/>
      <c r="H106" s="145"/>
    </row>
    <row r="107" spans="1:8" x14ac:dyDescent="0.2">
      <c r="A107" s="145" t="s">
        <v>117</v>
      </c>
      <c r="B107" s="145" t="str">
        <f>VLOOKUP(A107,'Project Data'!$B$10:$AT$28,43,FALSE)</f>
        <v>Yes</v>
      </c>
      <c r="C107" s="145"/>
      <c r="D107" s="145"/>
      <c r="E107" s="145"/>
      <c r="F107" s="145"/>
      <c r="G107" s="145"/>
      <c r="H107" s="145"/>
    </row>
    <row r="108" spans="1:8" x14ac:dyDescent="0.2">
      <c r="A108" s="145" t="s">
        <v>119</v>
      </c>
      <c r="B108" s="145" t="str">
        <f>VLOOKUP(A108,'Project Data'!$B$10:$AT$28,43,FALSE)</f>
        <v>Yes</v>
      </c>
      <c r="C108" s="145"/>
      <c r="D108" s="145"/>
      <c r="E108" s="145"/>
      <c r="F108" s="145"/>
      <c r="G108" s="145"/>
      <c r="H108" s="145"/>
    </row>
    <row r="109" spans="1:8" x14ac:dyDescent="0.2">
      <c r="A109" s="145" t="s">
        <v>121</v>
      </c>
      <c r="B109" s="145" t="str">
        <f>VLOOKUP(A109,'Project Data'!$B$10:$AT$28,43,FALSE)</f>
        <v>Yes</v>
      </c>
      <c r="C109" s="145"/>
      <c r="D109" s="145"/>
      <c r="E109" s="145"/>
      <c r="F109" s="145"/>
      <c r="G109" s="145"/>
      <c r="H109" s="145"/>
    </row>
    <row r="110" spans="1:8" x14ac:dyDescent="0.2">
      <c r="A110" s="145" t="s">
        <v>123</v>
      </c>
      <c r="B110" s="145" t="str">
        <f>VLOOKUP(A110,'Project Data'!$B$10:$AT$28,43,FALSE)</f>
        <v>No</v>
      </c>
      <c r="C110" s="145"/>
      <c r="D110" s="145"/>
      <c r="E110" s="145"/>
      <c r="F110" s="145"/>
      <c r="G110" s="145"/>
      <c r="H110" s="145"/>
    </row>
    <row r="111" spans="1:8" x14ac:dyDescent="0.2">
      <c r="A111" s="145" t="s">
        <v>125</v>
      </c>
      <c r="B111" s="145" t="str">
        <f>VLOOKUP(A111,'Project Data'!$B$10:$AT$28,43,FALSE)</f>
        <v>Yes</v>
      </c>
      <c r="C111" s="145"/>
      <c r="D111" s="145"/>
      <c r="E111" s="145"/>
      <c r="F111" s="145"/>
      <c r="G111" s="145"/>
      <c r="H111" s="145"/>
    </row>
    <row r="112" spans="1:8" x14ac:dyDescent="0.2">
      <c r="A112" s="145" t="s">
        <v>127</v>
      </c>
      <c r="B112" s="145" t="str">
        <f>VLOOKUP(A112,'Project Data'!$B$10:$AT$28,43,FALSE)</f>
        <v>Yes</v>
      </c>
      <c r="C112" s="145"/>
      <c r="D112" s="145"/>
      <c r="E112" s="145"/>
      <c r="F112" s="145"/>
      <c r="G112" s="145"/>
      <c r="H112" s="145"/>
    </row>
    <row r="113" spans="1:8" x14ac:dyDescent="0.2">
      <c r="A113" s="145" t="s">
        <v>129</v>
      </c>
      <c r="B113" s="145" t="str">
        <f>VLOOKUP(A113,'Project Data'!$B$10:$AT$28,43,FALSE)</f>
        <v>No</v>
      </c>
      <c r="C113" s="145"/>
      <c r="D113" s="145"/>
      <c r="E113" s="145"/>
      <c r="F113" s="145"/>
      <c r="G113" s="145"/>
      <c r="H113" s="145"/>
    </row>
    <row r="114" spans="1:8" x14ac:dyDescent="0.2">
      <c r="A114" s="145" t="s">
        <v>131</v>
      </c>
      <c r="B114" s="145" t="str">
        <f>VLOOKUP(A114,'Project Data'!$B$10:$AT$28,43,FALSE)</f>
        <v>Yes</v>
      </c>
      <c r="C114" s="145"/>
      <c r="D114" s="145"/>
      <c r="E114" s="145"/>
      <c r="F114" s="145"/>
      <c r="G114" s="145"/>
      <c r="H114" s="145"/>
    </row>
    <row r="115" spans="1:8" x14ac:dyDescent="0.2">
      <c r="A115" s="145" t="s">
        <v>133</v>
      </c>
      <c r="B115" s="145" t="str">
        <f>VLOOKUP(A115,'Project Data'!$B$10:$AT$28,43,FALSE)</f>
        <v>Yes</v>
      </c>
      <c r="C115" s="145"/>
      <c r="D115" s="145"/>
      <c r="E115" s="145"/>
      <c r="F115" s="145"/>
      <c r="G115" s="145"/>
      <c r="H115" s="145"/>
    </row>
    <row r="116" spans="1:8" x14ac:dyDescent="0.2">
      <c r="A116" s="145" t="s">
        <v>135</v>
      </c>
      <c r="B116" s="145" t="str">
        <f>VLOOKUP(A116,'Project Data'!$B$10:$AT$28,43,FALSE)</f>
        <v>Yes</v>
      </c>
      <c r="C116" s="146"/>
      <c r="D116" s="145"/>
      <c r="E116" s="145"/>
      <c r="F116" s="145"/>
      <c r="G116" s="145"/>
      <c r="H116" s="145"/>
    </row>
    <row r="117" spans="1:8" x14ac:dyDescent="0.2">
      <c r="A117" s="145" t="s">
        <v>137</v>
      </c>
      <c r="B117" s="145" t="str">
        <f>VLOOKUP(A117,'Project Data'!$B$10:$AT$28,43,FALSE)</f>
        <v>Yes</v>
      </c>
      <c r="C117" s="146"/>
      <c r="D117" s="145"/>
      <c r="E117" s="145"/>
      <c r="F117" s="145"/>
      <c r="G117" s="145"/>
      <c r="H117" s="145"/>
    </row>
    <row r="118" spans="1:8" x14ac:dyDescent="0.2">
      <c r="A118" s="145" t="s">
        <v>139</v>
      </c>
      <c r="B118" s="145" t="str">
        <f>VLOOKUP(A118,'Project Data'!$B$10:$AT$28,43,FALSE)</f>
        <v>No</v>
      </c>
      <c r="C118" s="146"/>
      <c r="D118" s="145"/>
      <c r="E118" s="145"/>
      <c r="F118" s="145"/>
      <c r="G118" s="145"/>
      <c r="H118" s="145"/>
    </row>
    <row r="119" spans="1:8" x14ac:dyDescent="0.2">
      <c r="A119" s="145" t="s">
        <v>141</v>
      </c>
      <c r="B119" s="145" t="str">
        <f>VLOOKUP(A119,'Project Data'!$B$10:$AT$28,43,FALSE)</f>
        <v>Yes</v>
      </c>
      <c r="C119" s="146"/>
      <c r="D119" s="145"/>
      <c r="E119" s="145"/>
      <c r="F119" s="145"/>
      <c r="G119" s="145"/>
      <c r="H119" s="145"/>
    </row>
    <row r="120" spans="1:8" x14ac:dyDescent="0.2">
      <c r="A120" s="145" t="s">
        <v>143</v>
      </c>
      <c r="B120" s="145" t="str">
        <f>VLOOKUP(A120,'Project Data'!$B$10:$AT$28,43,FALSE)</f>
        <v>No</v>
      </c>
      <c r="C120" s="146"/>
      <c r="D120" s="145"/>
      <c r="E120" s="145"/>
      <c r="F120" s="145"/>
      <c r="G120" s="145"/>
      <c r="H120" s="145"/>
    </row>
    <row r="121" spans="1:8" x14ac:dyDescent="0.2">
      <c r="A121" s="145" t="s">
        <v>145</v>
      </c>
      <c r="B121" s="145" t="str">
        <f>VLOOKUP(A121,'Project Data'!$B$10:$AT$28,43,FALSE)</f>
        <v>No</v>
      </c>
      <c r="C121" s="146"/>
      <c r="D121" s="145"/>
      <c r="E121" s="145"/>
      <c r="F121" s="145"/>
      <c r="G121" s="145"/>
      <c r="H121" s="145"/>
    </row>
    <row r="122" spans="1:8" x14ac:dyDescent="0.2">
      <c r="A122" s="147" t="s">
        <v>340</v>
      </c>
      <c r="B122" s="147"/>
      <c r="C122" s="148">
        <f>SUM(C123:C141)</f>
        <v>12515.745634354462</v>
      </c>
      <c r="D122" s="148" t="s">
        <v>331</v>
      </c>
      <c r="E122" s="148">
        <f>C122+'ICF 25'!C68</f>
        <v>54610.455208677158</v>
      </c>
      <c r="F122" s="148" t="s">
        <v>331</v>
      </c>
      <c r="G122" s="148">
        <f>C122-H122</f>
        <v>6275.9231388478447</v>
      </c>
      <c r="H122" s="148">
        <f>SUM(H123:H141)</f>
        <v>6239.8224955066171</v>
      </c>
    </row>
    <row r="123" spans="1:8" x14ac:dyDescent="0.2">
      <c r="A123" s="149" t="s">
        <v>108</v>
      </c>
      <c r="B123" s="149" t="s">
        <v>94</v>
      </c>
      <c r="C123" s="150">
        <v>0</v>
      </c>
      <c r="D123" s="150"/>
      <c r="E123" s="150"/>
      <c r="F123" s="150"/>
      <c r="G123" s="150"/>
      <c r="H123" s="150">
        <v>0</v>
      </c>
    </row>
    <row r="124" spans="1:8" x14ac:dyDescent="0.2">
      <c r="A124" s="149" t="s">
        <v>111</v>
      </c>
      <c r="B124" s="149" t="s">
        <v>93</v>
      </c>
      <c r="C124" s="150">
        <f>VLOOKUP(A124,'Project Data'!$B$3:$AT$28,41,FALSE)*Inputs!$C$3*'GBFF Pot'!$B$5</f>
        <v>30.209743381779795</v>
      </c>
      <c r="D124" s="150"/>
      <c r="E124" s="150"/>
      <c r="F124" s="150"/>
      <c r="G124" s="150"/>
      <c r="H124" s="150">
        <f>VLOOKUP(A124,'Project Data'!$B$3:$AT$28,42,FALSE)*Inputs!$C$3*'GBFF Pot'!$B$5</f>
        <v>15.104871690889897</v>
      </c>
    </row>
    <row r="125" spans="1:8" x14ac:dyDescent="0.2">
      <c r="A125" s="149" t="s">
        <v>113</v>
      </c>
      <c r="B125" s="149" t="s">
        <v>94</v>
      </c>
      <c r="C125" s="150">
        <v>0</v>
      </c>
      <c r="D125" s="150"/>
      <c r="E125" s="150"/>
      <c r="F125" s="150"/>
      <c r="G125" s="150"/>
      <c r="H125" s="150">
        <v>0</v>
      </c>
    </row>
    <row r="126" spans="1:8" x14ac:dyDescent="0.2">
      <c r="A126" s="149" t="s">
        <v>115</v>
      </c>
      <c r="B126" s="149" t="s">
        <v>93</v>
      </c>
      <c r="C126" s="150">
        <f>VLOOKUP(A126,'Project Data'!$B$3:$AT$28,41,FALSE)*Inputs!$C$3*'GBFF Pot'!$B$5</f>
        <v>583.04804726835005</v>
      </c>
      <c r="D126" s="150"/>
      <c r="E126" s="150"/>
      <c r="F126" s="150"/>
      <c r="G126" s="150"/>
      <c r="H126" s="150">
        <f>VLOOKUP(A126,'Project Data'!$B$3:$AT$28,42,FALSE)*Inputs!$C$3*'GBFF Pot'!$B$5</f>
        <v>303.1547748361603</v>
      </c>
    </row>
    <row r="127" spans="1:8" x14ac:dyDescent="0.2">
      <c r="A127" s="149" t="s">
        <v>117</v>
      </c>
      <c r="B127" s="149" t="s">
        <v>93</v>
      </c>
      <c r="C127" s="150">
        <f>VLOOKUP(A127,'Project Data'!$B$3:$AT$28,41,FALSE)*Inputs!$C$3*'GBFF Pot'!$B$5</f>
        <v>335.93234640539134</v>
      </c>
      <c r="D127" s="150"/>
      <c r="E127" s="150"/>
      <c r="F127" s="150"/>
      <c r="G127" s="150"/>
      <c r="H127" s="150">
        <f>VLOOKUP(A127,'Project Data'!$B$3:$AT$28,42,FALSE)*Inputs!$C$3*'GBFF Pot'!$B$5</f>
        <v>137.75642982091588</v>
      </c>
    </row>
    <row r="128" spans="1:8" x14ac:dyDescent="0.2">
      <c r="A128" s="149" t="s">
        <v>119</v>
      </c>
      <c r="B128" s="149" t="s">
        <v>93</v>
      </c>
      <c r="C128" s="150">
        <f>VLOOKUP(A128,'Project Data'!$B$3:$AT$28,41,FALSE)*Inputs!$C$3*'GBFF Pot'!$B$5</f>
        <v>75.524358454449498</v>
      </c>
      <c r="D128" s="150"/>
      <c r="E128" s="150"/>
      <c r="F128" s="150"/>
      <c r="G128" s="150"/>
      <c r="H128" s="150">
        <f>VLOOKUP(A128,'Project Data'!$B$3:$AT$28,42,FALSE)*Inputs!$C$3*'GBFF Pot'!$B$5</f>
        <v>37.762179227224749</v>
      </c>
    </row>
    <row r="129" spans="1:8" x14ac:dyDescent="0.2">
      <c r="A129" s="149" t="s">
        <v>121</v>
      </c>
      <c r="B129" s="149" t="s">
        <v>93</v>
      </c>
      <c r="C129" s="150">
        <f>VLOOKUP(A129,'Project Data'!$B$3:$AT$28,41,FALSE)*Inputs!$C$3*'GBFF Pot'!$B$5</f>
        <v>1359.438452180091</v>
      </c>
      <c r="D129" s="150"/>
      <c r="E129" s="150"/>
      <c r="F129" s="150"/>
      <c r="G129" s="150"/>
      <c r="H129" s="150">
        <f>VLOOKUP(A129,'Project Data'!$B$3:$AT$28,42,FALSE)*Inputs!$C$3*'GBFF Pot'!$B$5</f>
        <v>679.71922609004548</v>
      </c>
    </row>
    <row r="130" spans="1:8" x14ac:dyDescent="0.2">
      <c r="A130" s="149" t="s">
        <v>123</v>
      </c>
      <c r="B130" s="149" t="s">
        <v>94</v>
      </c>
      <c r="C130" s="150">
        <v>0</v>
      </c>
      <c r="D130" s="150"/>
      <c r="E130" s="150"/>
      <c r="F130" s="150"/>
      <c r="G130" s="150"/>
      <c r="H130" s="150">
        <v>0</v>
      </c>
    </row>
    <row r="131" spans="1:8" x14ac:dyDescent="0.2">
      <c r="A131" s="149" t="s">
        <v>125</v>
      </c>
      <c r="B131" s="149" t="s">
        <v>93</v>
      </c>
      <c r="C131" s="150">
        <f>VLOOKUP(A131,'Project Data'!$B$3:$AT$28,41,FALSE)*Inputs!$C$3*'GBFF Pot'!$B$5</f>
        <v>60.41948676355959</v>
      </c>
      <c r="D131" s="150"/>
      <c r="E131" s="150"/>
      <c r="F131" s="150"/>
      <c r="G131" s="150"/>
      <c r="H131" s="150">
        <f>VLOOKUP(A131,'Project Data'!$B$3:$AT$28,42,FALSE)*Inputs!$C$3*'GBFF Pot'!$B$5</f>
        <v>30.209743381779795</v>
      </c>
    </row>
    <row r="132" spans="1:8" x14ac:dyDescent="0.2">
      <c r="A132" s="149" t="s">
        <v>127</v>
      </c>
      <c r="B132" s="149" t="s">
        <v>93</v>
      </c>
      <c r="C132" s="150">
        <f>VLOOKUP(A132,'Project Data'!$B$3:$AT$28,41,FALSE)*Inputs!$C$3*'GBFF Pot'!$B$5</f>
        <v>1510.4871690889897</v>
      </c>
      <c r="D132" s="150"/>
      <c r="E132" s="150"/>
      <c r="F132" s="150"/>
      <c r="G132" s="150"/>
      <c r="H132" s="150">
        <f>VLOOKUP(A132,'Project Data'!$B$3:$AT$28,42,FALSE)*Inputs!$C$3*'GBFF Pot'!$B$5</f>
        <v>755.24358454449487</v>
      </c>
    </row>
    <row r="133" spans="1:8" x14ac:dyDescent="0.2">
      <c r="A133" s="149" t="s">
        <v>129</v>
      </c>
      <c r="B133" s="149" t="s">
        <v>94</v>
      </c>
      <c r="C133" s="150">
        <v>0</v>
      </c>
      <c r="D133" s="150"/>
      <c r="E133" s="150"/>
      <c r="F133" s="150"/>
      <c r="G133" s="150"/>
      <c r="H133" s="150">
        <v>0</v>
      </c>
    </row>
    <row r="134" spans="1:8" x14ac:dyDescent="0.2">
      <c r="A134" s="149" t="s">
        <v>131</v>
      </c>
      <c r="B134" s="149" t="s">
        <v>93</v>
      </c>
      <c r="C134" s="150">
        <f>VLOOKUP(A134,'Project Data'!$B$3:$AT$28,41,FALSE)*Inputs!$C$3*'GBFF Pot'!$B$5</f>
        <v>1709.116231824192</v>
      </c>
      <c r="D134" s="150"/>
      <c r="E134" s="150"/>
      <c r="F134" s="150"/>
      <c r="G134" s="150"/>
      <c r="H134" s="150">
        <f>VLOOKUP(A134,'Project Data'!$B$3:$AT$28,42,FALSE)*Inputs!$C$3*'GBFF Pot'!$B$5</f>
        <v>848.74274031110338</v>
      </c>
    </row>
    <row r="135" spans="1:8" x14ac:dyDescent="0.2">
      <c r="A135" s="149" t="s">
        <v>133</v>
      </c>
      <c r="B135" s="149" t="s">
        <v>93</v>
      </c>
      <c r="C135" s="150">
        <f>VLOOKUP(A135,'Project Data'!$B$3:$AT$28,41,FALSE)*Inputs!$C$3*'GBFF Pot'!$B$5</f>
        <v>3636.7999570155612</v>
      </c>
      <c r="D135" s="150"/>
      <c r="E135" s="150"/>
      <c r="F135" s="150"/>
      <c r="G135" s="150"/>
      <c r="H135" s="150">
        <f>VLOOKUP(A135,'Project Data'!$B$3:$AT$28,42,FALSE)*Inputs!$C$3*'GBFF Pot'!$B$5</f>
        <v>1824.215354108773</v>
      </c>
    </row>
    <row r="136" spans="1:8" x14ac:dyDescent="0.2">
      <c r="A136" s="149" t="s">
        <v>135</v>
      </c>
      <c r="B136" s="149" t="s">
        <v>93</v>
      </c>
      <c r="C136" s="150">
        <f>VLOOKUP(A136,'Project Data'!$B$3:$AT$28,41,FALSE)*Inputs!$C$3*'GBFF Pot'!$B$5</f>
        <v>186.24306794867246</v>
      </c>
      <c r="D136" s="150"/>
      <c r="E136" s="150"/>
      <c r="F136" s="150"/>
      <c r="G136" s="150"/>
      <c r="H136" s="150">
        <f>VLOOKUP(A136,'Project Data'!$B$3:$AT$28,42,FALSE)*Inputs!$C$3*'GBFF Pot'!$B$5</f>
        <v>93.650204483517371</v>
      </c>
    </row>
    <row r="137" spans="1:8" x14ac:dyDescent="0.2">
      <c r="A137" s="149" t="s">
        <v>137</v>
      </c>
      <c r="B137" s="149" t="s">
        <v>93</v>
      </c>
      <c r="C137" s="150">
        <f>VLOOKUP(A137,'Project Data'!$B$3:$AT$28,41,FALSE)*Inputs!$C$3*'GBFF Pot'!$B$5</f>
        <v>762.79602038993983</v>
      </c>
      <c r="D137" s="150"/>
      <c r="E137" s="150"/>
      <c r="F137" s="150"/>
      <c r="G137" s="150"/>
      <c r="H137" s="150">
        <f>VLOOKUP(A137,'Project Data'!$B$3:$AT$28,42,FALSE)*Inputs!$C$3*'GBFF Pot'!$B$5</f>
        <v>381.39801019496991</v>
      </c>
    </row>
    <row r="138" spans="1:8" x14ac:dyDescent="0.2">
      <c r="A138" s="149" t="s">
        <v>139</v>
      </c>
      <c r="B138" s="149" t="s">
        <v>94</v>
      </c>
      <c r="C138" s="150">
        <v>0</v>
      </c>
      <c r="D138" s="150"/>
      <c r="E138" s="150"/>
      <c r="F138" s="150"/>
      <c r="G138" s="150"/>
      <c r="H138" s="150">
        <v>0</v>
      </c>
    </row>
    <row r="139" spans="1:8" x14ac:dyDescent="0.2">
      <c r="A139" s="149" t="s">
        <v>141</v>
      </c>
      <c r="B139" s="149" t="s">
        <v>93</v>
      </c>
      <c r="C139" s="150">
        <f>VLOOKUP(A139,'Project Data'!$B$3:$AT$28,41,FALSE)*Inputs!$C$3*'GBFF Pot'!$B$5</f>
        <v>2265.7307536334847</v>
      </c>
      <c r="D139" s="150"/>
      <c r="E139" s="150"/>
      <c r="F139" s="150"/>
      <c r="G139" s="150"/>
      <c r="H139" s="150">
        <f>VLOOKUP(A139,'Project Data'!$B$3:$AT$28,42,FALSE)*Inputs!$C$3*'GBFF Pot'!$B$5</f>
        <v>1132.8653768167424</v>
      </c>
    </row>
    <row r="140" spans="1:8" x14ac:dyDescent="0.2">
      <c r="A140" s="149" t="s">
        <v>143</v>
      </c>
      <c r="B140" s="149" t="s">
        <v>94</v>
      </c>
      <c r="C140" s="150">
        <v>0</v>
      </c>
      <c r="D140" s="150"/>
      <c r="E140" s="150"/>
      <c r="F140" s="150"/>
      <c r="G140" s="150"/>
      <c r="H140" s="150">
        <v>0</v>
      </c>
    </row>
    <row r="141" spans="1:8" x14ac:dyDescent="0.2">
      <c r="A141" s="149" t="s">
        <v>145</v>
      </c>
      <c r="B141" s="149" t="s">
        <v>94</v>
      </c>
      <c r="C141" s="150">
        <v>0</v>
      </c>
      <c r="D141" s="150"/>
      <c r="E141" s="150"/>
      <c r="F141" s="150"/>
      <c r="G141" s="150"/>
      <c r="H141" s="150">
        <v>0</v>
      </c>
    </row>
    <row r="142" spans="1:8" x14ac:dyDescent="0.2">
      <c r="A142" s="264" t="s">
        <v>341</v>
      </c>
      <c r="B142" s="264"/>
      <c r="C142" s="266">
        <f>SUM(C143:C161)</f>
        <v>1884791.6707523083</v>
      </c>
      <c r="D142" s="266">
        <f>Milestones!F67-Milestones!E67</f>
        <v>0</v>
      </c>
      <c r="E142" s="266">
        <f>C142+'ICF 25'!C106</f>
        <v>1884791.6707523083</v>
      </c>
      <c r="F142" s="266">
        <f>Milestones!F67</f>
        <v>0</v>
      </c>
      <c r="G142" s="266"/>
      <c r="H142" s="266"/>
    </row>
    <row r="143" spans="1:8" x14ac:dyDescent="0.2">
      <c r="A143" s="103" t="s">
        <v>108</v>
      </c>
      <c r="B143" s="103" t="s">
        <v>94</v>
      </c>
      <c r="C143" s="263">
        <f>VLOOKUP(A143,'Project Data'!$B$3:$AT$28,45,FALSE)*Inputs!$C$3*Inputs!$C$4*'GBFF Pot'!$B$5</f>
        <v>142922.29593920021</v>
      </c>
      <c r="D143" s="263"/>
      <c r="E143" s="263"/>
      <c r="F143" s="263"/>
      <c r="G143" s="263"/>
      <c r="H143" s="263"/>
    </row>
    <row r="144" spans="1:8" x14ac:dyDescent="0.2">
      <c r="A144" s="103" t="s">
        <v>111</v>
      </c>
      <c r="B144" s="103" t="s">
        <v>93</v>
      </c>
      <c r="C144" s="263">
        <f>VLOOKUP(A144,'Project Data'!$B$3:$AT$28,45,FALSE)*Inputs!$C$3*Inputs!$C$4*'GBFF Pot'!$B$5</f>
        <v>0</v>
      </c>
      <c r="D144" s="263"/>
      <c r="E144" s="263"/>
      <c r="F144" s="263"/>
      <c r="G144" s="263"/>
      <c r="H144" s="263"/>
    </row>
    <row r="145" spans="1:8" x14ac:dyDescent="0.2">
      <c r="A145" s="103" t="s">
        <v>113</v>
      </c>
      <c r="B145" s="103" t="s">
        <v>94</v>
      </c>
      <c r="C145" s="263">
        <f>VLOOKUP(A145,'Project Data'!$B$3:$AT$28,45,FALSE)*Inputs!$C$3*Inputs!$C$4*'GBFF Pot'!$B$5</f>
        <v>431.0628283146159</v>
      </c>
      <c r="D145" s="263"/>
      <c r="E145" s="263"/>
      <c r="F145" s="263"/>
      <c r="G145" s="263"/>
      <c r="H145" s="263"/>
    </row>
    <row r="146" spans="1:8" x14ac:dyDescent="0.2">
      <c r="A146" s="103" t="s">
        <v>115</v>
      </c>
      <c r="B146" s="103" t="s">
        <v>93</v>
      </c>
      <c r="C146" s="263">
        <f>VLOOKUP(A146,'Project Data'!$B$3:$AT$28,45,FALSE)*Inputs!$C$3*Inputs!$C$4*'GBFF Pot'!$B$5</f>
        <v>235100.4597590678</v>
      </c>
      <c r="D146" s="263"/>
      <c r="E146" s="263"/>
      <c r="F146" s="263"/>
      <c r="G146" s="263"/>
      <c r="H146" s="263"/>
    </row>
    <row r="147" spans="1:8" x14ac:dyDescent="0.2">
      <c r="A147" s="103" t="s">
        <v>117</v>
      </c>
      <c r="B147" s="103" t="s">
        <v>93</v>
      </c>
      <c r="C147" s="263">
        <f>VLOOKUP(A147,'Project Data'!$B$3:$AT$28,45,FALSE)*Inputs!$C$3*Inputs!$C$4*'GBFF Pot'!$B$5</f>
        <v>7885.120644436799</v>
      </c>
      <c r="D147" s="263"/>
      <c r="E147" s="263"/>
      <c r="F147" s="263"/>
      <c r="G147" s="263"/>
      <c r="H147" s="263"/>
    </row>
    <row r="148" spans="1:8" x14ac:dyDescent="0.2">
      <c r="A148" s="103" t="s">
        <v>119</v>
      </c>
      <c r="B148" s="103" t="s">
        <v>93</v>
      </c>
      <c r="C148" s="263">
        <f>VLOOKUP(A148,'Project Data'!$B$3:$AT$28,45,FALSE)*Inputs!$C$3*Inputs!$C$4*'GBFF Pot'!$B$5</f>
        <v>2878.248405570761</v>
      </c>
      <c r="D148" s="263"/>
      <c r="E148" s="263"/>
      <c r="F148" s="263"/>
      <c r="G148" s="263"/>
      <c r="H148" s="263"/>
    </row>
    <row r="149" spans="1:8" x14ac:dyDescent="0.2">
      <c r="A149" s="103" t="s">
        <v>121</v>
      </c>
      <c r="B149" s="103" t="s">
        <v>93</v>
      </c>
      <c r="C149" s="263">
        <f>VLOOKUP(A149,'Project Data'!$B$3:$AT$28,45,FALSE)*Inputs!$C$3*Inputs!$C$4*'GBFF Pot'!$B$5</f>
        <v>41036.779465964457</v>
      </c>
      <c r="D149" s="263"/>
      <c r="E149" s="263"/>
      <c r="F149" s="263"/>
      <c r="G149" s="263"/>
      <c r="H149" s="263"/>
    </row>
    <row r="150" spans="1:8" x14ac:dyDescent="0.2">
      <c r="A150" s="103" t="s">
        <v>123</v>
      </c>
      <c r="B150" s="103" t="s">
        <v>94</v>
      </c>
      <c r="C150" s="263">
        <f>VLOOKUP(A150,'Project Data'!$B$3:$AT$28,45,FALSE)*Inputs!$C$3*Inputs!$C$4*'GBFF Pot'!$B$5</f>
        <v>277326.22214563063</v>
      </c>
      <c r="D150" s="263"/>
      <c r="E150" s="263"/>
      <c r="F150" s="263"/>
      <c r="G150" s="263"/>
      <c r="H150" s="263"/>
    </row>
    <row r="151" spans="1:8" x14ac:dyDescent="0.2">
      <c r="A151" s="103" t="s">
        <v>125</v>
      </c>
      <c r="B151" s="103" t="s">
        <v>93</v>
      </c>
      <c r="C151" s="263">
        <f>VLOOKUP(A151,'Project Data'!$B$3:$AT$28,45,FALSE)*Inputs!$C$3*Inputs!$C$4*'GBFF Pot'!$B$5</f>
        <v>48.78873556157437</v>
      </c>
      <c r="D151" s="263"/>
      <c r="E151" s="263"/>
      <c r="F151" s="263"/>
      <c r="G151" s="263"/>
      <c r="H151" s="263"/>
    </row>
    <row r="152" spans="1:8" x14ac:dyDescent="0.2">
      <c r="A152" s="103" t="s">
        <v>127</v>
      </c>
      <c r="B152" s="103" t="s">
        <v>93</v>
      </c>
      <c r="C152" s="263">
        <f>VLOOKUP(A152,'Project Data'!$B$3:$AT$28,45,FALSE)*Inputs!$C$3*Inputs!$C$4*'GBFF Pot'!$B$5</f>
        <v>1721.9553727614484</v>
      </c>
      <c r="D152" s="263"/>
      <c r="E152" s="263"/>
      <c r="F152" s="263"/>
      <c r="G152" s="263"/>
      <c r="H152" s="263"/>
    </row>
    <row r="153" spans="1:8" x14ac:dyDescent="0.2">
      <c r="A153" s="103" t="s">
        <v>129</v>
      </c>
      <c r="B153" s="103" t="s">
        <v>94</v>
      </c>
      <c r="C153" s="263">
        <f>VLOOKUP(A153,'Project Data'!$B$3:$AT$28,45,FALSE)*Inputs!$C$3*Inputs!$C$4*'GBFF Pot'!$B$5</f>
        <v>107290.01690692862</v>
      </c>
      <c r="D153" s="263"/>
      <c r="E153" s="263"/>
      <c r="F153" s="263"/>
      <c r="G153" s="263"/>
      <c r="H153" s="263"/>
    </row>
    <row r="154" spans="1:8" x14ac:dyDescent="0.2">
      <c r="A154" s="103" t="s">
        <v>131</v>
      </c>
      <c r="B154" s="103" t="s">
        <v>93</v>
      </c>
      <c r="C154" s="263">
        <f>VLOOKUP(A154,'Project Data'!$B$3:$AT$28,45,FALSE)*Inputs!$C$3*Inputs!$C$4*'GBFF Pot'!$B$5</f>
        <v>833802.36067292735</v>
      </c>
      <c r="D154" s="263"/>
      <c r="E154" s="263"/>
      <c r="F154" s="263"/>
      <c r="G154" s="263"/>
      <c r="H154" s="263"/>
    </row>
    <row r="155" spans="1:8" x14ac:dyDescent="0.2">
      <c r="A155" s="103" t="s">
        <v>133</v>
      </c>
      <c r="B155" s="103" t="s">
        <v>93</v>
      </c>
      <c r="C155" s="263">
        <f>VLOOKUP(A155,'Project Data'!$B$3:$AT$28,45,FALSE)*Inputs!$C$3*Inputs!$C$4*'GBFF Pot'!$B$5</f>
        <v>4455.5595270202475</v>
      </c>
      <c r="D155" s="263"/>
      <c r="E155" s="263"/>
      <c r="F155" s="263"/>
      <c r="G155" s="263"/>
      <c r="H155" s="263"/>
    </row>
    <row r="156" spans="1:8" x14ac:dyDescent="0.2">
      <c r="A156" s="103" t="s">
        <v>135</v>
      </c>
      <c r="B156" s="103" t="s">
        <v>93</v>
      </c>
      <c r="C156" s="263">
        <f>VLOOKUP(A156,'Project Data'!$B$3:$AT$28,45,FALSE)*Inputs!$C$3*Inputs!$C$4*'GBFF Pot'!$B$5</f>
        <v>36.582941894316967</v>
      </c>
      <c r="D156" s="263"/>
      <c r="E156" s="263"/>
      <c r="F156" s="263"/>
      <c r="G156" s="263"/>
      <c r="H156" s="263"/>
    </row>
    <row r="157" spans="1:8" x14ac:dyDescent="0.2">
      <c r="A157" s="103" t="s">
        <v>137</v>
      </c>
      <c r="B157" s="103" t="s">
        <v>93</v>
      </c>
      <c r="C157" s="263">
        <f>VLOOKUP(A157,'Project Data'!$B$3:$AT$28,45,FALSE)*Inputs!$C$3*Inputs!$C$4*'GBFF Pot'!$B$5</f>
        <v>7805.767201008709</v>
      </c>
      <c r="D157" s="263"/>
      <c r="E157" s="263"/>
      <c r="F157" s="263"/>
      <c r="G157" s="263"/>
      <c r="H157" s="263"/>
    </row>
    <row r="158" spans="1:8" x14ac:dyDescent="0.2">
      <c r="A158" s="103" t="s">
        <v>139</v>
      </c>
      <c r="B158" s="103" t="s">
        <v>94</v>
      </c>
      <c r="C158" s="263">
        <f>VLOOKUP(A158,'Project Data'!$B$3:$AT$28,45,FALSE)*Inputs!$C$3*Inputs!$C$4*'GBFF Pot'!$B$5</f>
        <v>23923.412986336927</v>
      </c>
      <c r="D158" s="263"/>
      <c r="E158" s="263"/>
      <c r="F158" s="263"/>
      <c r="G158" s="263"/>
      <c r="H158" s="263"/>
    </row>
    <row r="159" spans="1:8" x14ac:dyDescent="0.2">
      <c r="A159" s="103" t="s">
        <v>141</v>
      </c>
      <c r="B159" s="103" t="s">
        <v>93</v>
      </c>
      <c r="C159" s="263">
        <f>VLOOKUP(A159,'Project Data'!$B$3:$AT$28,45,FALSE)*Inputs!$C$3*Inputs!$C$4*'GBFF Pot'!$B$5</f>
        <v>57099.609671926446</v>
      </c>
      <c r="D159" s="263"/>
      <c r="E159" s="263"/>
      <c r="F159" s="263"/>
      <c r="G159" s="263"/>
      <c r="H159" s="263"/>
    </row>
    <row r="160" spans="1:8" x14ac:dyDescent="0.2">
      <c r="A160" s="103" t="s">
        <v>143</v>
      </c>
      <c r="B160" s="103" t="s">
        <v>94</v>
      </c>
      <c r="C160" s="263">
        <f>VLOOKUP(A160,'Project Data'!$B$3:$AT$28,45,FALSE)*Inputs!$C$3*Inputs!$C$4*'GBFF Pot'!$B$5</f>
        <v>6.4573326478554307</v>
      </c>
      <c r="D160" s="263"/>
      <c r="E160" s="263"/>
      <c r="F160" s="263"/>
      <c r="G160" s="263"/>
      <c r="H160" s="263"/>
    </row>
    <row r="161" spans="1:8" x14ac:dyDescent="0.2">
      <c r="A161" s="103" t="s">
        <v>145</v>
      </c>
      <c r="B161" s="103" t="s">
        <v>94</v>
      </c>
      <c r="C161" s="263">
        <f>VLOOKUP(A161,'Project Data'!$B$3:$AT$28,45,FALSE)*Inputs!$C$3*Inputs!$C$4*'GBFF Pot'!$B$5</f>
        <v>141020.97021510944</v>
      </c>
      <c r="D161" s="263"/>
      <c r="E161" s="263"/>
      <c r="F161" s="263"/>
      <c r="G161" s="263"/>
      <c r="H161" s="263"/>
    </row>
  </sheetData>
  <autoFilter ref="A1:H141" xr:uid="{D8CEE635-57E1-4152-A5C1-6E9F93FD0B5D}"/>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F9F21-CCDA-4745-8B8E-2E68973C4C86}">
  <sheetPr>
    <tabColor theme="7" tint="0.59999389629810485"/>
  </sheetPr>
  <dimension ref="A1:E33"/>
  <sheetViews>
    <sheetView workbookViewId="0">
      <selection activeCell="B9" sqref="B9:B11"/>
    </sheetView>
  </sheetViews>
  <sheetFormatPr defaultRowHeight="12.75" x14ac:dyDescent="0.2"/>
  <cols>
    <col min="1" max="1" width="75.7109375" customWidth="1"/>
    <col min="2" max="5" width="11.85546875" style="84" customWidth="1"/>
  </cols>
  <sheetData>
    <row r="1" spans="1:5" ht="25.5" x14ac:dyDescent="0.2">
      <c r="B1" s="226" t="s">
        <v>324</v>
      </c>
      <c r="C1" s="227" t="s">
        <v>325</v>
      </c>
      <c r="D1" s="227" t="s">
        <v>326</v>
      </c>
      <c r="E1" s="227" t="s">
        <v>327</v>
      </c>
    </row>
    <row r="2" spans="1:5" ht="15" x14ac:dyDescent="0.25">
      <c r="A2" s="188" t="s">
        <v>342</v>
      </c>
      <c r="B2" s="189">
        <f>SUM(B3:B11)</f>
        <v>6359869.4758250369</v>
      </c>
      <c r="C2" s="189">
        <f>Milestones!E7</f>
        <v>3461775.0200000005</v>
      </c>
      <c r="D2" s="189">
        <f>B2</f>
        <v>6359869.4758250369</v>
      </c>
      <c r="E2" s="189">
        <f>Milestones!E7</f>
        <v>3461775.0200000005</v>
      </c>
    </row>
    <row r="3" spans="1:5" ht="15" x14ac:dyDescent="0.25">
      <c r="A3" s="131" t="s">
        <v>92</v>
      </c>
      <c r="B3" s="190">
        <f>VLOOKUP(A3,'Project Data'!$B$3:$AT$28,45,FALSE)*Inputs!$C$3*Inputs!$C$4*'GBFF Pot'!$B$5</f>
        <v>3717582.5464437213</v>
      </c>
      <c r="C3" s="190"/>
      <c r="D3" s="190"/>
      <c r="E3" s="190"/>
    </row>
    <row r="4" spans="1:5" ht="15" x14ac:dyDescent="0.25">
      <c r="A4" s="131" t="s">
        <v>96</v>
      </c>
      <c r="B4" s="190">
        <f>VLOOKUP(A4,'Project Data'!$B$3:$AT$28,45,FALSE)*Inputs!$C$3*Inputs!$C$4*'GBFF Pot'!$B$5</f>
        <v>657474.319917246</v>
      </c>
      <c r="C4" s="190"/>
      <c r="D4" s="190"/>
      <c r="E4" s="190"/>
    </row>
    <row r="5" spans="1:5" ht="15" x14ac:dyDescent="0.25">
      <c r="A5" s="131" t="s">
        <v>98</v>
      </c>
      <c r="B5" s="190">
        <f>VLOOKUP(A5,'Project Data'!$B$3:$AT$28,45,FALSE)*Inputs!$C$3*Inputs!$C$4*'GBFF Pot'!$B$5</f>
        <v>918376.19880610576</v>
      </c>
      <c r="C5" s="190"/>
      <c r="D5" s="190"/>
      <c r="E5" s="190"/>
    </row>
    <row r="6" spans="1:5" ht="15" x14ac:dyDescent="0.25">
      <c r="A6" s="131" t="s">
        <v>100</v>
      </c>
      <c r="B6" s="190">
        <f>VLOOKUP(A6,'Project Data'!$B$3:$AT$28,45,FALSE)*Inputs!$C$3*Inputs!$C$4*'GBFF Pot'!$B$5</f>
        <v>162753.48198216956</v>
      </c>
      <c r="C6" s="190"/>
      <c r="D6" s="190"/>
      <c r="E6" s="190"/>
    </row>
    <row r="7" spans="1:5" ht="15" x14ac:dyDescent="0.25">
      <c r="A7" s="131" t="s">
        <v>102</v>
      </c>
      <c r="B7" s="190">
        <f>VLOOKUP(A7,'Project Data'!$B$3:$AT$28,45,FALSE)*Inputs!$C$3*Inputs!$C$4*'GBFF Pot'!$B$5</f>
        <v>52232.646307097268</v>
      </c>
      <c r="C7" s="190"/>
      <c r="D7" s="190"/>
      <c r="E7" s="190"/>
    </row>
    <row r="8" spans="1:5" ht="15" x14ac:dyDescent="0.25">
      <c r="A8" s="131" t="s">
        <v>104</v>
      </c>
      <c r="B8" s="190">
        <f>VLOOKUP(A8,'Project Data'!$B$3:$AT$28,45,FALSE)*Inputs!$C$3*Inputs!$C$4*'GBFF Pot'!$B$5</f>
        <v>659986.78195275785</v>
      </c>
      <c r="C8" s="190"/>
      <c r="D8" s="190"/>
      <c r="E8" s="190"/>
    </row>
    <row r="9" spans="1:5" ht="15" x14ac:dyDescent="0.25">
      <c r="A9" s="131" t="s">
        <v>332</v>
      </c>
      <c r="B9" s="190">
        <f>(VLOOKUP("Cameroon, CAR, Congo",'Project Data'!$B$3:$AT$28,45,FALSE)*Inputs!$C$3*Inputs!$C$4*'GBFF Pot'!$B$5/3)</f>
        <v>63821.166805313376</v>
      </c>
      <c r="C9" s="190"/>
      <c r="D9" s="190"/>
      <c r="E9" s="190"/>
    </row>
    <row r="10" spans="1:5" ht="15" x14ac:dyDescent="0.25">
      <c r="A10" s="131" t="s">
        <v>333</v>
      </c>
      <c r="B10" s="190">
        <f>(VLOOKUP("Cameroon, CAR, Congo",'Project Data'!$B$3:$AT$28,45,FALSE)*Inputs!$C$3*Inputs!$C$4*'GBFF Pot'!$B$5/3)</f>
        <v>63821.166805313376</v>
      </c>
      <c r="C10" s="190"/>
      <c r="D10" s="190"/>
      <c r="E10" s="190"/>
    </row>
    <row r="11" spans="1:5" ht="15" x14ac:dyDescent="0.25">
      <c r="A11" s="131" t="s">
        <v>334</v>
      </c>
      <c r="B11" s="190">
        <f>(VLOOKUP("Cameroon, CAR, Congo",'Project Data'!$B$3:$AT$28,45,FALSE)*Inputs!$C$3*Inputs!$C$4*'GBFF Pot'!$B$5/3)</f>
        <v>63821.166805313376</v>
      </c>
      <c r="C11" s="190"/>
      <c r="D11" s="190"/>
      <c r="E11" s="190"/>
    </row>
    <row r="13" spans="1:5" ht="30" x14ac:dyDescent="0.25">
      <c r="A13" s="191" t="s">
        <v>343</v>
      </c>
      <c r="B13" s="192">
        <f>SUM(B14:B22)</f>
        <v>2265.7307536334847</v>
      </c>
      <c r="C13" s="192" t="s">
        <v>331</v>
      </c>
      <c r="D13" s="192">
        <f>B13</f>
        <v>2265.7307536334847</v>
      </c>
      <c r="E13" s="192" t="s">
        <v>331</v>
      </c>
    </row>
    <row r="14" spans="1:5" ht="15" x14ac:dyDescent="0.25">
      <c r="A14" s="193" t="s">
        <v>92</v>
      </c>
      <c r="B14" s="194">
        <f>VLOOKUP(A14,'Project Data'!$B$3:$AT$28,22,FALSE)*Inputs!$C$3*'GBFF Pot'!$B$5</f>
        <v>0</v>
      </c>
      <c r="C14" s="194"/>
      <c r="D14" s="194"/>
      <c r="E14" s="194"/>
    </row>
    <row r="15" spans="1:5" ht="15" x14ac:dyDescent="0.25">
      <c r="A15" s="193" t="s">
        <v>96</v>
      </c>
      <c r="B15" s="194">
        <f>VLOOKUP(A15,'Project Data'!$B$3:$AT$28,22,FALSE)*Inputs!$C$3*'GBFF Pot'!$B$5</f>
        <v>0</v>
      </c>
      <c r="C15" s="194"/>
      <c r="D15" s="194"/>
      <c r="E15" s="194"/>
    </row>
    <row r="16" spans="1:5" ht="15" x14ac:dyDescent="0.25">
      <c r="A16" s="193" t="s">
        <v>98</v>
      </c>
      <c r="B16" s="194">
        <f>VLOOKUP(A16,'Project Data'!$B$3:$AT$28,22,FALSE)*Inputs!$C$3*'GBFF Pot'!$B$5</f>
        <v>0</v>
      </c>
      <c r="C16" s="194"/>
      <c r="D16" s="194"/>
      <c r="E16" s="194"/>
    </row>
    <row r="17" spans="1:5" ht="15" x14ac:dyDescent="0.25">
      <c r="A17" s="193" t="s">
        <v>100</v>
      </c>
      <c r="B17" s="194">
        <f>VLOOKUP(A17,'Project Data'!$B$3:$AT$28,22,FALSE)*Inputs!$C$3*'GBFF Pot'!$B$5</f>
        <v>0</v>
      </c>
      <c r="C17" s="194"/>
      <c r="D17" s="194"/>
      <c r="E17" s="194"/>
    </row>
    <row r="18" spans="1:5" ht="15" x14ac:dyDescent="0.25">
      <c r="A18" s="193" t="s">
        <v>102</v>
      </c>
      <c r="B18" s="194">
        <f>VLOOKUP(A18,'Project Data'!$B$3:$AT$28,22,FALSE)*Inputs!$C$3*'GBFF Pot'!$B$5</f>
        <v>2114.6820367245859</v>
      </c>
      <c r="C18" s="194"/>
      <c r="D18" s="194"/>
      <c r="E18" s="194"/>
    </row>
    <row r="19" spans="1:5" ht="15" x14ac:dyDescent="0.25">
      <c r="A19" s="193" t="s">
        <v>104</v>
      </c>
      <c r="B19" s="194">
        <f>VLOOKUP(A19,'Project Data'!$B$3:$AT$28,22,FALSE)*Inputs!$C$3*'GBFF Pot'!$B$5</f>
        <v>151.048716908899</v>
      </c>
      <c r="C19" s="194"/>
      <c r="D19" s="194"/>
      <c r="E19" s="194"/>
    </row>
    <row r="20" spans="1:5" ht="15" x14ac:dyDescent="0.25">
      <c r="A20" s="193" t="s">
        <v>332</v>
      </c>
      <c r="B20" s="194">
        <f>(VLOOKUP("Cameroon, CAR, Congo",'Project Data'!$B$3:$AT$28,22,FALSE)*Inputs!$C$3*'GBFF Pot'!$B$5)/3</f>
        <v>0</v>
      </c>
      <c r="C20" s="194"/>
      <c r="D20" s="194"/>
      <c r="E20" s="194"/>
    </row>
    <row r="21" spans="1:5" ht="15" x14ac:dyDescent="0.25">
      <c r="A21" s="193" t="s">
        <v>333</v>
      </c>
      <c r="B21" s="194">
        <f>(VLOOKUP("Cameroon, CAR, Congo",'Project Data'!$B$3:$AT$28,22,FALSE)*Inputs!$C$3*'GBFF Pot'!$B$5)/3</f>
        <v>0</v>
      </c>
      <c r="C21" s="194"/>
      <c r="D21" s="194"/>
      <c r="E21" s="194"/>
    </row>
    <row r="22" spans="1:5" ht="15" x14ac:dyDescent="0.25">
      <c r="A22" s="193" t="s">
        <v>334</v>
      </c>
      <c r="B22" s="194">
        <f>(VLOOKUP("Cameroon, CAR, Congo",'Project Data'!$B$3:$AT$28,22,FALSE)*Inputs!$C$3*'GBFF Pot'!$B$5)/3</f>
        <v>0</v>
      </c>
      <c r="C22" s="194"/>
      <c r="D22" s="194"/>
      <c r="E22" s="194"/>
    </row>
    <row r="24" spans="1:5" ht="30" x14ac:dyDescent="0.25">
      <c r="A24" s="195" t="s">
        <v>344</v>
      </c>
      <c r="B24" s="196"/>
      <c r="C24" s="196"/>
      <c r="D24" s="196"/>
      <c r="E24" s="196"/>
    </row>
    <row r="25" spans="1:5" ht="15" x14ac:dyDescent="0.25">
      <c r="A25" s="197" t="s">
        <v>92</v>
      </c>
      <c r="B25" s="198"/>
      <c r="C25" s="198"/>
      <c r="D25" s="198"/>
      <c r="E25" s="198"/>
    </row>
    <row r="26" spans="1:5" ht="15" x14ac:dyDescent="0.25">
      <c r="A26" s="197" t="s">
        <v>96</v>
      </c>
      <c r="B26" s="198"/>
      <c r="C26" s="198"/>
      <c r="D26" s="198"/>
      <c r="E26" s="198"/>
    </row>
    <row r="27" spans="1:5" ht="15" x14ac:dyDescent="0.25">
      <c r="A27" s="197" t="s">
        <v>98</v>
      </c>
      <c r="B27" s="198"/>
      <c r="C27" s="198"/>
      <c r="D27" s="198"/>
      <c r="E27" s="198"/>
    </row>
    <row r="28" spans="1:5" ht="15" x14ac:dyDescent="0.25">
      <c r="A28" s="197" t="s">
        <v>100</v>
      </c>
      <c r="B28" s="198"/>
      <c r="C28" s="198"/>
      <c r="D28" s="198"/>
      <c r="E28" s="198"/>
    </row>
    <row r="29" spans="1:5" ht="15" x14ac:dyDescent="0.25">
      <c r="A29" s="197" t="s">
        <v>102</v>
      </c>
      <c r="B29" s="198"/>
      <c r="C29" s="198"/>
      <c r="D29" s="198"/>
      <c r="E29" s="198"/>
    </row>
    <row r="30" spans="1:5" ht="15" x14ac:dyDescent="0.25">
      <c r="A30" s="197" t="s">
        <v>104</v>
      </c>
      <c r="B30" s="198"/>
      <c r="C30" s="198"/>
      <c r="D30" s="198"/>
      <c r="E30" s="198"/>
    </row>
    <row r="31" spans="1:5" ht="15" x14ac:dyDescent="0.25">
      <c r="A31" s="197" t="s">
        <v>332</v>
      </c>
      <c r="B31" s="198"/>
      <c r="C31" s="198"/>
      <c r="D31" s="198"/>
      <c r="E31" s="198"/>
    </row>
    <row r="32" spans="1:5" ht="15" x14ac:dyDescent="0.25">
      <c r="A32" s="197" t="s">
        <v>333</v>
      </c>
      <c r="B32" s="198"/>
      <c r="C32" s="198"/>
      <c r="D32" s="198"/>
      <c r="E32" s="198"/>
    </row>
    <row r="33" spans="1:5" ht="15" x14ac:dyDescent="0.25">
      <c r="A33" s="197" t="s">
        <v>334</v>
      </c>
      <c r="B33" s="198"/>
      <c r="C33" s="198"/>
      <c r="D33" s="198"/>
      <c r="E33" s="19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DAD00-2193-475E-80B4-BB87A6EC0D85}">
  <sheetPr>
    <tabColor theme="7" tint="0.59999389629810485"/>
  </sheetPr>
  <dimension ref="A1:E63"/>
  <sheetViews>
    <sheetView workbookViewId="0">
      <selection activeCell="A60" sqref="A60:A61"/>
    </sheetView>
  </sheetViews>
  <sheetFormatPr defaultRowHeight="12.75" x14ac:dyDescent="0.2"/>
  <cols>
    <col min="1" max="1" width="75.7109375" customWidth="1"/>
    <col min="2" max="5" width="11.85546875" style="84" customWidth="1"/>
  </cols>
  <sheetData>
    <row r="1" spans="1:5" ht="25.5" x14ac:dyDescent="0.2">
      <c r="B1" s="226" t="s">
        <v>324</v>
      </c>
      <c r="C1" s="227" t="s">
        <v>325</v>
      </c>
      <c r="D1" s="227" t="s">
        <v>326</v>
      </c>
      <c r="E1" s="227" t="s">
        <v>327</v>
      </c>
    </row>
    <row r="2" spans="1:5" ht="15" x14ac:dyDescent="0.25">
      <c r="A2" s="188" t="s">
        <v>342</v>
      </c>
      <c r="B2" s="189">
        <f>SUM(B3:B21)</f>
        <v>1884791.6707523083</v>
      </c>
      <c r="C2" s="189">
        <f>Milestones!E7</f>
        <v>3461775.0200000005</v>
      </c>
      <c r="D2" s="189">
        <f>B2</f>
        <v>1884791.6707523083</v>
      </c>
      <c r="E2" s="189">
        <f>Milestones!E7</f>
        <v>3461775.0200000005</v>
      </c>
    </row>
    <row r="3" spans="1:5" ht="15" x14ac:dyDescent="0.25">
      <c r="A3" s="131" t="s">
        <v>108</v>
      </c>
      <c r="B3" s="190">
        <f>VLOOKUP(A3,'Project Data'!$B$3:$AT$28,45,FALSE)*Inputs!$C$3*Inputs!$C$4*'GBFF Pot'!$B$5</f>
        <v>142922.29593920021</v>
      </c>
      <c r="C3" s="190"/>
      <c r="D3" s="190"/>
      <c r="E3" s="190"/>
    </row>
    <row r="4" spans="1:5" ht="15" x14ac:dyDescent="0.25">
      <c r="A4" s="131" t="s">
        <v>111</v>
      </c>
      <c r="B4" s="190">
        <f>VLOOKUP(A4,'Project Data'!$B$3:$AT$28,45,FALSE)*Inputs!$C$3*Inputs!$C$4*'GBFF Pot'!$B$5</f>
        <v>0</v>
      </c>
      <c r="C4" s="190"/>
      <c r="D4" s="190"/>
      <c r="E4" s="190"/>
    </row>
    <row r="5" spans="1:5" ht="15" x14ac:dyDescent="0.25">
      <c r="A5" s="131" t="s">
        <v>113</v>
      </c>
      <c r="B5" s="190">
        <f>VLOOKUP(A5,'Project Data'!$B$3:$AT$28,45,FALSE)*Inputs!$C$3*Inputs!$C$4*'GBFF Pot'!$B$5</f>
        <v>431.0628283146159</v>
      </c>
      <c r="C5" s="190"/>
      <c r="D5" s="190"/>
      <c r="E5" s="190"/>
    </row>
    <row r="6" spans="1:5" ht="15" x14ac:dyDescent="0.25">
      <c r="A6" s="131" t="s">
        <v>115</v>
      </c>
      <c r="B6" s="190">
        <f>VLOOKUP(A6,'Project Data'!$B$3:$AT$28,45,FALSE)*Inputs!$C$3*Inputs!$C$4*'GBFF Pot'!$B$5</f>
        <v>235100.4597590678</v>
      </c>
      <c r="C6" s="190"/>
      <c r="D6" s="190"/>
      <c r="E6" s="190"/>
    </row>
    <row r="7" spans="1:5" ht="15" x14ac:dyDescent="0.25">
      <c r="A7" s="131" t="s">
        <v>117</v>
      </c>
      <c r="B7" s="190">
        <f>VLOOKUP(A7,'Project Data'!$B$3:$AT$28,45,FALSE)*Inputs!$C$3*Inputs!$C$4*'GBFF Pot'!$B$5</f>
        <v>7885.120644436799</v>
      </c>
      <c r="C7" s="190"/>
      <c r="D7" s="190"/>
      <c r="E7" s="190"/>
    </row>
    <row r="8" spans="1:5" ht="15" x14ac:dyDescent="0.25">
      <c r="A8" s="131" t="s">
        <v>119</v>
      </c>
      <c r="B8" s="190">
        <f>VLOOKUP(A8,'Project Data'!$B$3:$AT$28,45,FALSE)*Inputs!$C$3*Inputs!$C$4*'GBFF Pot'!$B$5</f>
        <v>2878.248405570761</v>
      </c>
      <c r="C8" s="190"/>
      <c r="D8" s="190"/>
      <c r="E8" s="190"/>
    </row>
    <row r="9" spans="1:5" ht="15" x14ac:dyDescent="0.25">
      <c r="A9" s="131" t="s">
        <v>121</v>
      </c>
      <c r="B9" s="190">
        <f>VLOOKUP(A9,'Project Data'!$B$3:$AT$28,45,FALSE)*Inputs!$C$3*Inputs!$C$4*'GBFF Pot'!$B$5</f>
        <v>41036.779465964457</v>
      </c>
      <c r="C9" s="190"/>
      <c r="D9" s="190"/>
      <c r="E9" s="190"/>
    </row>
    <row r="10" spans="1:5" ht="15" x14ac:dyDescent="0.25">
      <c r="A10" s="131" t="s">
        <v>123</v>
      </c>
      <c r="B10" s="190">
        <f>VLOOKUP(A10,'Project Data'!$B$3:$AT$28,45,FALSE)*Inputs!$C$3*Inputs!$C$4*'GBFF Pot'!$B$5</f>
        <v>277326.22214563063</v>
      </c>
      <c r="C10" s="190"/>
      <c r="D10" s="190"/>
      <c r="E10" s="190"/>
    </row>
    <row r="11" spans="1:5" ht="15" x14ac:dyDescent="0.25">
      <c r="A11" s="131" t="s">
        <v>125</v>
      </c>
      <c r="B11" s="190">
        <f>VLOOKUP(A11,'Project Data'!$B$3:$AT$28,45,FALSE)*Inputs!$C$3*Inputs!$C$4*'GBFF Pot'!$B$5</f>
        <v>48.78873556157437</v>
      </c>
      <c r="C11" s="190"/>
      <c r="D11" s="190"/>
      <c r="E11" s="190"/>
    </row>
    <row r="12" spans="1:5" ht="15" x14ac:dyDescent="0.25">
      <c r="A12" s="131" t="s">
        <v>127</v>
      </c>
      <c r="B12" s="190">
        <f>VLOOKUP(A12,'Project Data'!$B$3:$AT$28,45,FALSE)*Inputs!$C$3*Inputs!$C$4*'GBFF Pot'!$B$5</f>
        <v>1721.9553727614484</v>
      </c>
      <c r="C12" s="190"/>
      <c r="D12" s="190"/>
      <c r="E12" s="190"/>
    </row>
    <row r="13" spans="1:5" ht="15" x14ac:dyDescent="0.25">
      <c r="A13" s="131" t="s">
        <v>129</v>
      </c>
      <c r="B13" s="190">
        <f>VLOOKUP(A13,'Project Data'!$B$3:$AT$28,45,FALSE)*Inputs!$C$3*Inputs!$C$4*'GBFF Pot'!$B$5</f>
        <v>107290.01690692862</v>
      </c>
      <c r="C13" s="190"/>
      <c r="D13" s="190"/>
      <c r="E13" s="190"/>
    </row>
    <row r="14" spans="1:5" ht="15" x14ac:dyDescent="0.25">
      <c r="A14" s="131" t="s">
        <v>131</v>
      </c>
      <c r="B14" s="190">
        <f>VLOOKUP(A14,'Project Data'!$B$3:$AT$28,45,FALSE)*Inputs!$C$3*Inputs!$C$4*'GBFF Pot'!$B$5</f>
        <v>833802.36067292735</v>
      </c>
      <c r="C14" s="190"/>
      <c r="D14" s="190"/>
      <c r="E14" s="190"/>
    </row>
    <row r="15" spans="1:5" ht="15" x14ac:dyDescent="0.25">
      <c r="A15" s="131" t="s">
        <v>133</v>
      </c>
      <c r="B15" s="190">
        <f>VLOOKUP(A15,'Project Data'!$B$3:$AT$28,45,FALSE)*Inputs!$C$3*Inputs!$C$4*'GBFF Pot'!$B$5</f>
        <v>4455.5595270202475</v>
      </c>
      <c r="C15" s="190"/>
      <c r="D15" s="190"/>
      <c r="E15" s="190"/>
    </row>
    <row r="16" spans="1:5" ht="15" x14ac:dyDescent="0.25">
      <c r="A16" s="131" t="s">
        <v>135</v>
      </c>
      <c r="B16" s="190">
        <f>VLOOKUP(A16,'Project Data'!$B$3:$AT$28,45,FALSE)*Inputs!$C$3*Inputs!$C$4*'GBFF Pot'!$B$5</f>
        <v>36.582941894316967</v>
      </c>
      <c r="C16" s="190"/>
      <c r="D16" s="190"/>
      <c r="E16" s="190"/>
    </row>
    <row r="17" spans="1:5" ht="15" x14ac:dyDescent="0.25">
      <c r="A17" s="131" t="s">
        <v>137</v>
      </c>
      <c r="B17" s="190">
        <f>VLOOKUP(A17,'Project Data'!$B$3:$AT$28,45,FALSE)*Inputs!$C$3*Inputs!$C$4*'GBFF Pot'!$B$5</f>
        <v>7805.767201008709</v>
      </c>
      <c r="C17" s="190"/>
      <c r="D17" s="190"/>
      <c r="E17" s="190"/>
    </row>
    <row r="18" spans="1:5" ht="15" x14ac:dyDescent="0.25">
      <c r="A18" s="131" t="s">
        <v>139</v>
      </c>
      <c r="B18" s="190">
        <f>VLOOKUP(A18,'Project Data'!$B$3:$AT$28,45,FALSE)*Inputs!$C$3*Inputs!$C$4*'GBFF Pot'!$B$5</f>
        <v>23923.412986336927</v>
      </c>
      <c r="C18" s="190"/>
      <c r="D18" s="190"/>
      <c r="E18" s="190"/>
    </row>
    <row r="19" spans="1:5" ht="15" x14ac:dyDescent="0.25">
      <c r="A19" s="131" t="s">
        <v>141</v>
      </c>
      <c r="B19" s="190">
        <f>VLOOKUP(A19,'Project Data'!$B$3:$AT$28,45,FALSE)*Inputs!$C$3*Inputs!$C$4*'GBFF Pot'!$B$5</f>
        <v>57099.609671926446</v>
      </c>
      <c r="C19" s="190"/>
      <c r="D19" s="190"/>
      <c r="E19" s="190"/>
    </row>
    <row r="20" spans="1:5" ht="15" x14ac:dyDescent="0.25">
      <c r="A20" s="131" t="s">
        <v>143</v>
      </c>
      <c r="B20" s="190">
        <f>VLOOKUP(A20,'Project Data'!$B$3:$AT$28,45,FALSE)*Inputs!$C$3*Inputs!$C$4*'GBFF Pot'!$B$5</f>
        <v>6.4573326478554307</v>
      </c>
      <c r="C20" s="190"/>
      <c r="D20" s="190"/>
      <c r="E20" s="190"/>
    </row>
    <row r="21" spans="1:5" ht="15" x14ac:dyDescent="0.25">
      <c r="A21" s="131" t="s">
        <v>145</v>
      </c>
      <c r="B21" s="190">
        <f>VLOOKUP(A21,'Project Data'!$B$3:$AT$28,45,FALSE)*Inputs!$C$3*Inputs!$C$4*'GBFF Pot'!$B$5</f>
        <v>141020.97021510944</v>
      </c>
      <c r="C21" s="190"/>
      <c r="D21" s="190"/>
      <c r="E21" s="190"/>
    </row>
    <row r="23" spans="1:5" ht="30" x14ac:dyDescent="0.25">
      <c r="A23" s="191" t="s">
        <v>343</v>
      </c>
      <c r="B23" s="192">
        <f>SUM(B24:B42)</f>
        <v>9663.0456087616712</v>
      </c>
      <c r="C23" s="192" t="s">
        <v>331</v>
      </c>
      <c r="D23" s="192">
        <f>B23</f>
        <v>9663.0456087616712</v>
      </c>
      <c r="E23" s="192" t="s">
        <v>331</v>
      </c>
    </row>
    <row r="24" spans="1:5" ht="15" x14ac:dyDescent="0.25">
      <c r="A24" s="193" t="s">
        <v>108</v>
      </c>
      <c r="B24" s="194">
        <f>VLOOKUP(A24,'Project Data'!$B$3:$AT$28,22,FALSE)*Inputs!$C$3*'GBFF Pot'!$B$5</f>
        <v>0</v>
      </c>
      <c r="C24" s="194"/>
      <c r="D24" s="194"/>
      <c r="E24" s="194"/>
    </row>
    <row r="25" spans="1:5" ht="15" x14ac:dyDescent="0.25">
      <c r="A25" s="193" t="s">
        <v>111</v>
      </c>
      <c r="B25" s="194">
        <f>VLOOKUP(A25,'Project Data'!$B$3:$AT$28,22,FALSE)*Inputs!$C$3*'GBFF Pot'!$B$5</f>
        <v>0</v>
      </c>
      <c r="C25" s="194"/>
      <c r="D25" s="194"/>
      <c r="E25" s="194"/>
    </row>
    <row r="26" spans="1:5" ht="15" x14ac:dyDescent="0.25">
      <c r="A26" s="193" t="s">
        <v>113</v>
      </c>
      <c r="B26" s="194">
        <f>VLOOKUP(A26,'Project Data'!$B$3:$AT$28,22,FALSE)*Inputs!$C$3*'GBFF Pot'!$B$5</f>
        <v>0.60419486763559593</v>
      </c>
      <c r="C26" s="194"/>
      <c r="D26" s="194"/>
      <c r="E26" s="194"/>
    </row>
    <row r="27" spans="1:5" ht="15" x14ac:dyDescent="0.25">
      <c r="A27" s="193" t="s">
        <v>115</v>
      </c>
      <c r="B27" s="194">
        <f>VLOOKUP(A27,'Project Data'!$B$3:$AT$28,22,FALSE)*Inputs!$C$3*'GBFF Pot'!$B$5</f>
        <v>101.95788391350682</v>
      </c>
      <c r="C27" s="194"/>
      <c r="D27" s="194"/>
      <c r="E27" s="194"/>
    </row>
    <row r="28" spans="1:5" ht="15" x14ac:dyDescent="0.25">
      <c r="A28" s="193" t="s">
        <v>117</v>
      </c>
      <c r="B28" s="194">
        <f>VLOOKUP(A28,'Project Data'!$B$3:$AT$28,22,FALSE)*Inputs!$C$3*'GBFF Pot'!$B$5</f>
        <v>0</v>
      </c>
      <c r="C28" s="194"/>
      <c r="D28" s="194"/>
      <c r="E28" s="194"/>
    </row>
    <row r="29" spans="1:5" ht="15" x14ac:dyDescent="0.25">
      <c r="A29" s="193" t="s">
        <v>119</v>
      </c>
      <c r="B29" s="194">
        <f>VLOOKUP(A29,'Project Data'!$B$3:$AT$28,22,FALSE)*Inputs!$C$3*'GBFF Pot'!$B$5</f>
        <v>0</v>
      </c>
      <c r="C29" s="194"/>
      <c r="D29" s="194"/>
      <c r="E29" s="194"/>
    </row>
    <row r="30" spans="1:5" ht="15" x14ac:dyDescent="0.25">
      <c r="A30" s="193" t="s">
        <v>121</v>
      </c>
      <c r="B30" s="194">
        <f>VLOOKUP(A30,'Project Data'!$B$3:$AT$28,22,FALSE)*Inputs!$C$3*'GBFF Pot'!$B$5</f>
        <v>6041.9486763559589</v>
      </c>
      <c r="C30" s="194"/>
      <c r="D30" s="194"/>
      <c r="E30" s="194"/>
    </row>
    <row r="31" spans="1:5" ht="15" x14ac:dyDescent="0.25">
      <c r="A31" s="193" t="s">
        <v>123</v>
      </c>
      <c r="B31" s="194">
        <f>VLOOKUP(A31,'Project Data'!$B$3:$AT$28,22,FALSE)*Inputs!$C$3*'GBFF Pot'!$B$5</f>
        <v>0</v>
      </c>
      <c r="C31" s="194"/>
      <c r="D31" s="194"/>
      <c r="E31" s="194"/>
    </row>
    <row r="32" spans="1:5" ht="15" x14ac:dyDescent="0.25">
      <c r="A32" s="193" t="s">
        <v>125</v>
      </c>
      <c r="B32" s="194">
        <f>VLOOKUP(A32,'Project Data'!$B$3:$AT$28,22,FALSE)*Inputs!$C$3*'GBFF Pot'!$B$5</f>
        <v>18.12584602906788</v>
      </c>
      <c r="C32" s="194"/>
      <c r="D32" s="194"/>
      <c r="E32" s="194"/>
    </row>
    <row r="33" spans="1:5" ht="15" x14ac:dyDescent="0.25">
      <c r="A33" s="193" t="s">
        <v>127</v>
      </c>
      <c r="B33" s="194">
        <f>VLOOKUP(A33,'Project Data'!$B$3:$AT$28,22,FALSE)*Inputs!$C$3*'GBFF Pot'!$B$5</f>
        <v>453.14615072669693</v>
      </c>
      <c r="C33" s="194"/>
      <c r="D33" s="194"/>
      <c r="E33" s="194"/>
    </row>
    <row r="34" spans="1:5" ht="15" x14ac:dyDescent="0.25">
      <c r="A34" s="193" t="s">
        <v>129</v>
      </c>
      <c r="B34" s="194">
        <f>VLOOKUP(A34,'Project Data'!$B$3:$AT$28,22,FALSE)*Inputs!$C$3*'GBFF Pot'!$B$5</f>
        <v>0</v>
      </c>
      <c r="C34" s="194"/>
      <c r="D34" s="194"/>
      <c r="E34" s="194"/>
    </row>
    <row r="35" spans="1:5" ht="15" x14ac:dyDescent="0.25">
      <c r="A35" s="193" t="s">
        <v>131</v>
      </c>
      <c r="B35" s="194">
        <f>VLOOKUP(A35,'Project Data'!$B$3:$AT$28,22,FALSE)*Inputs!$C$3*'GBFF Pot'!$B$5</f>
        <v>0</v>
      </c>
      <c r="C35" s="194"/>
      <c r="D35" s="194"/>
      <c r="E35" s="194"/>
    </row>
    <row r="36" spans="1:5" ht="15" x14ac:dyDescent="0.25">
      <c r="A36" s="193" t="s">
        <v>133</v>
      </c>
      <c r="B36" s="194">
        <f>VLOOKUP(A36,'Project Data'!$B$3:$AT$28,22,FALSE)*Inputs!$C$3*'GBFF Pot'!$B$5</f>
        <v>7.5524358454449487</v>
      </c>
      <c r="C36" s="194"/>
      <c r="D36" s="194"/>
      <c r="E36" s="194"/>
    </row>
    <row r="37" spans="1:5" ht="15" x14ac:dyDescent="0.25">
      <c r="A37" s="193" t="s">
        <v>135</v>
      </c>
      <c r="B37" s="194">
        <f>VLOOKUP(A37,'Project Data'!$B$3:$AT$28,22,FALSE)*Inputs!$C$3*'GBFF Pot'!$B$5</f>
        <v>0.61023681631195192</v>
      </c>
      <c r="C37" s="194"/>
      <c r="D37" s="194"/>
      <c r="E37" s="194"/>
    </row>
    <row r="38" spans="1:5" ht="15" x14ac:dyDescent="0.25">
      <c r="A38" s="193" t="s">
        <v>137</v>
      </c>
      <c r="B38" s="194">
        <f>VLOOKUP(A38,'Project Data'!$B$3:$AT$28,22,FALSE)*Inputs!$C$3*'GBFF Pot'!$B$5</f>
        <v>0</v>
      </c>
      <c r="C38" s="194"/>
      <c r="D38" s="194"/>
      <c r="E38" s="194"/>
    </row>
    <row r="39" spans="1:5" ht="15" x14ac:dyDescent="0.25">
      <c r="A39" s="193" t="s">
        <v>139</v>
      </c>
      <c r="B39" s="194">
        <f>VLOOKUP(A39,'Project Data'!$B$3:$AT$28,22,FALSE)*Inputs!$C$3*'GBFF Pot'!$B$5</f>
        <v>3005.86946648709</v>
      </c>
      <c r="C39" s="194"/>
      <c r="D39" s="194"/>
      <c r="E39" s="194"/>
    </row>
    <row r="40" spans="1:5" ht="15" x14ac:dyDescent="0.25">
      <c r="A40" s="193" t="s">
        <v>141</v>
      </c>
      <c r="B40" s="194">
        <f>VLOOKUP(A40,'Project Data'!$B$3:$AT$28,22,FALSE)*Inputs!$C$3*'GBFF Pot'!$B$5</f>
        <v>26.433525459057321</v>
      </c>
      <c r="C40" s="194"/>
      <c r="D40" s="194"/>
      <c r="E40" s="194"/>
    </row>
    <row r="41" spans="1:5" ht="15" x14ac:dyDescent="0.25">
      <c r="A41" s="193" t="s">
        <v>143</v>
      </c>
      <c r="B41" s="194">
        <f>VLOOKUP(A41,'Project Data'!$B$3:$AT$28,22,FALSE)*Inputs!$C$3*'GBFF Pot'!$B$5</f>
        <v>6.797192260900454</v>
      </c>
      <c r="C41" s="194"/>
      <c r="D41" s="194"/>
      <c r="E41" s="194"/>
    </row>
    <row r="42" spans="1:5" ht="15" x14ac:dyDescent="0.25">
      <c r="A42" s="193" t="s">
        <v>145</v>
      </c>
      <c r="B42" s="194">
        <f>VLOOKUP(A42,'Project Data'!$B$3:$AT$28,22,FALSE)*Inputs!$C$3*'GBFF Pot'!$B$5</f>
        <v>0</v>
      </c>
      <c r="C42" s="194"/>
      <c r="D42" s="194"/>
      <c r="E42" s="194"/>
    </row>
    <row r="44" spans="1:5" ht="30" x14ac:dyDescent="0.25">
      <c r="A44" s="195" t="s">
        <v>344</v>
      </c>
      <c r="B44" s="196"/>
      <c r="C44" s="196"/>
      <c r="D44" s="196"/>
      <c r="E44" s="196"/>
    </row>
    <row r="45" spans="1:5" ht="15" x14ac:dyDescent="0.25">
      <c r="A45" s="258" t="s">
        <v>108</v>
      </c>
      <c r="B45" s="259"/>
      <c r="C45" s="259"/>
      <c r="D45" s="259"/>
      <c r="E45" s="259"/>
    </row>
    <row r="46" spans="1:5" ht="15" x14ac:dyDescent="0.25">
      <c r="A46" s="258" t="s">
        <v>111</v>
      </c>
      <c r="B46" s="259"/>
      <c r="C46" s="259"/>
      <c r="D46" s="259"/>
      <c r="E46" s="259"/>
    </row>
    <row r="47" spans="1:5" ht="15" x14ac:dyDescent="0.25">
      <c r="A47" s="258" t="s">
        <v>113</v>
      </c>
      <c r="B47" s="259"/>
      <c r="C47" s="259"/>
      <c r="D47" s="259"/>
      <c r="E47" s="259"/>
    </row>
    <row r="48" spans="1:5" ht="15" x14ac:dyDescent="0.25">
      <c r="A48" s="258" t="s">
        <v>115</v>
      </c>
      <c r="B48" s="259"/>
      <c r="C48" s="259"/>
      <c r="D48" s="259"/>
      <c r="E48" s="259"/>
    </row>
    <row r="49" spans="1:5" ht="15" x14ac:dyDescent="0.25">
      <c r="A49" s="258" t="s">
        <v>117</v>
      </c>
      <c r="B49" s="259"/>
      <c r="C49" s="259"/>
      <c r="D49" s="259"/>
      <c r="E49" s="259"/>
    </row>
    <row r="50" spans="1:5" ht="15" x14ac:dyDescent="0.25">
      <c r="A50" s="258" t="s">
        <v>119</v>
      </c>
      <c r="B50" s="259"/>
      <c r="C50" s="259"/>
      <c r="D50" s="259"/>
      <c r="E50" s="259"/>
    </row>
    <row r="51" spans="1:5" ht="15" x14ac:dyDescent="0.25">
      <c r="A51" s="258" t="s">
        <v>121</v>
      </c>
      <c r="B51" s="259"/>
      <c r="C51" s="259"/>
      <c r="D51" s="259"/>
      <c r="E51" s="259"/>
    </row>
    <row r="52" spans="1:5" ht="15" x14ac:dyDescent="0.25">
      <c r="A52" s="258" t="s">
        <v>123</v>
      </c>
      <c r="B52" s="259"/>
      <c r="C52" s="259"/>
      <c r="D52" s="259"/>
      <c r="E52" s="259"/>
    </row>
    <row r="53" spans="1:5" ht="15" x14ac:dyDescent="0.25">
      <c r="A53" s="258" t="s">
        <v>125</v>
      </c>
      <c r="B53" s="259"/>
      <c r="C53" s="259"/>
      <c r="D53" s="259"/>
      <c r="E53" s="259"/>
    </row>
    <row r="54" spans="1:5" x14ac:dyDescent="0.2">
      <c r="A54" s="135" t="s">
        <v>127</v>
      </c>
      <c r="B54" s="136"/>
      <c r="C54" s="136"/>
      <c r="D54" s="136"/>
      <c r="E54" s="136"/>
    </row>
    <row r="55" spans="1:5" x14ac:dyDescent="0.2">
      <c r="A55" s="135" t="s">
        <v>129</v>
      </c>
      <c r="B55" s="136"/>
      <c r="C55" s="136"/>
      <c r="D55" s="136"/>
      <c r="E55" s="136"/>
    </row>
    <row r="56" spans="1:5" x14ac:dyDescent="0.2">
      <c r="A56" s="135" t="s">
        <v>131</v>
      </c>
      <c r="B56" s="136"/>
      <c r="C56" s="136"/>
      <c r="D56" s="136"/>
      <c r="E56" s="136"/>
    </row>
    <row r="57" spans="1:5" x14ac:dyDescent="0.2">
      <c r="A57" s="135" t="s">
        <v>133</v>
      </c>
      <c r="B57" s="136"/>
      <c r="C57" s="136"/>
      <c r="D57" s="136"/>
      <c r="E57" s="136"/>
    </row>
    <row r="58" spans="1:5" x14ac:dyDescent="0.2">
      <c r="A58" s="135" t="s">
        <v>135</v>
      </c>
      <c r="B58" s="136"/>
      <c r="C58" s="136"/>
      <c r="D58" s="136"/>
      <c r="E58" s="136"/>
    </row>
    <row r="59" spans="1:5" x14ac:dyDescent="0.2">
      <c r="A59" s="135" t="s">
        <v>137</v>
      </c>
      <c r="B59" s="136"/>
      <c r="C59" s="136"/>
      <c r="D59" s="136"/>
      <c r="E59" s="136"/>
    </row>
    <row r="60" spans="1:5" x14ac:dyDescent="0.2">
      <c r="A60" s="135" t="s">
        <v>139</v>
      </c>
      <c r="B60" s="136"/>
      <c r="C60" s="136"/>
      <c r="D60" s="136"/>
      <c r="E60" s="136"/>
    </row>
    <row r="61" spans="1:5" x14ac:dyDescent="0.2">
      <c r="A61" s="135" t="s">
        <v>141</v>
      </c>
      <c r="B61" s="136"/>
      <c r="C61" s="136"/>
      <c r="D61" s="136"/>
      <c r="E61" s="136"/>
    </row>
    <row r="62" spans="1:5" x14ac:dyDescent="0.2">
      <c r="A62" s="135" t="s">
        <v>143</v>
      </c>
      <c r="B62" s="136"/>
      <c r="C62" s="136"/>
      <c r="D62" s="136"/>
      <c r="E62" s="136"/>
    </row>
    <row r="63" spans="1:5" x14ac:dyDescent="0.2">
      <c r="A63" s="135" t="s">
        <v>145</v>
      </c>
      <c r="B63" s="136"/>
      <c r="C63" s="136"/>
      <c r="D63" s="136"/>
      <c r="E63" s="1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9</Value>
      <Value>10</Value>
      <Value>2</Value>
      <Value>1</Value>
      <Value>3</Value>
    </TaxCatchAll>
    <lcf76f155ced4ddcb4097134ff3c332f xmlns="0b3fee45-83ed-493f-9c2d-b390e9020356">
      <Terms xmlns="http://schemas.microsoft.com/office/infopath/2007/PartnerControls"/>
    </lcf76f155ced4ddcb4097134ff3c332f>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_ip_UnifiedCompliancePolicyUIAction xmlns="http://schemas.microsoft.com/sharepoint/v3" xsi:nil="true"/>
    <k85d23755b3a46b5a51451cf336b2e9b xmlns="662745e8-e224-48e8-a2e3-254862b8c2f5">
      <Terms xmlns="http://schemas.microsoft.com/office/infopath/2007/PartnerControls"/>
    </k85d23755b3a46b5a51451cf336b2e9b>
    <Topic xmlns="662745e8-e224-48e8-a2e3-254862b8c2f5">CBD</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External</TermName>
          <TermId xmlns="http://schemas.microsoft.com/office/infopath/2007/PartnerControls">1104eb68-55d8-494f-b6ba-c5473579de73</TermId>
        </TermInfo>
      </Terms>
    </ddeb1fd0a9ad4436a96525d34737dc44>
    <_ip_UnifiedCompliancePolicyProperties xmlns="http://schemas.microsoft.com/sharepoint/v3" xsi:nil="true"/>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Core Defra</TermName>
          <TermId xmlns="http://schemas.microsoft.com/office/infopath/2007/PartnerControls">026223dd-2e56-4615-868d-7c5bfd566810</TermId>
        </TermInfo>
      </Terms>
    </fe59e9859d6a491389c5b03567f5dda5>
    <Team xmlns="662745e8-e224-48e8-a2e3-254862b8c2f5">International Biodiversity</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3010ce-a6df-4592-b7e4-3af05f3a2507">
      <UserInfo>
        <DisplayName>Brodie-Good, Leah</DisplayName>
        <AccountId>1513</AccountId>
        <AccountType/>
      </UserInfo>
      <UserInfo>
        <DisplayName>Waples, Sally</DisplayName>
        <AccountId>150</AccountId>
        <AccountType/>
      </UserInfo>
      <UserInfo>
        <DisplayName>Schuricht, Eleanor</DisplayName>
        <AccountId>129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5B904C709910646B070DAB1EA7D4E8D" ma:contentTypeVersion="21" ma:contentTypeDescription="Create a new document." ma:contentTypeScope="" ma:versionID="9af57a46cd33c756a0fe5434796275fd">
  <xsd:schema xmlns:xsd="http://www.w3.org/2001/XMLSchema" xmlns:xs="http://www.w3.org/2001/XMLSchema" xmlns:p="http://schemas.microsoft.com/office/2006/metadata/properties" xmlns:ns1="http://schemas.microsoft.com/sharepoint/v3" xmlns:ns2="662745e8-e224-48e8-a2e3-254862b8c2f5" xmlns:ns3="0b3fee45-83ed-493f-9c2d-b390e9020356" xmlns:ns4="083010ce-a6df-4592-b7e4-3af05f3a2507" targetNamespace="http://schemas.microsoft.com/office/2006/metadata/properties" ma:root="true" ma:fieldsID="89effef64360f700e034991d7f66fa3b" ns1:_="" ns2:_="" ns3:_="" ns4:_="">
    <xsd:import namespace="http://schemas.microsoft.com/sharepoint/v3"/>
    <xsd:import namespace="662745e8-e224-48e8-a2e3-254862b8c2f5"/>
    <xsd:import namespace="0b3fee45-83ed-493f-9c2d-b390e9020356"/>
    <xsd:import namespace="083010ce-a6df-4592-b7e4-3af05f3a25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1:_ip_UnifiedCompliancePolicyUIAction"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SearchProperties" minOccurs="0"/>
                <xsd:element ref="ns3:MediaServiceMetadata" minOccurs="0"/>
                <xsd:element ref="ns3:MediaServiceFastMetadata" minOccurs="0"/>
                <xsd:element ref="ns3:MediaLengthInSeconds" minOccurs="0"/>
                <xsd:element ref="ns4:SharedWithUsers" minOccurs="0"/>
                <xsd:element ref="ns4:SharedWithDetails" minOccurs="0"/>
                <xsd:element ref="ns1:_ip_UnifiedCompliancePolicy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UIAction" ma:index="25" nillable="true" ma:displayName="Unified Compliance Policy UI Action" ma:hidden="true" ma:internalName="_ip_UnifiedCompliancePolicyUIAction">
      <xsd:simpleType>
        <xsd:restriction base="dms:Text"/>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3189353-4ac2-4a3a-b7f6-d7a6a9413698}" ma:internalName="TaxCatchAll" ma:showField="CatchAllData" ma:web="083010ce-a6df-4592-b7e4-3af05f3a25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3189353-4ac2-4a3a-b7f6-d7a6a9413698}" ma:internalName="TaxCatchAllLabel" ma:readOnly="true" ma:showField="CatchAllDataLabel" ma:web="083010ce-a6df-4592-b7e4-3af05f3a250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International Biodiversity" ma:internalName="Team" ma:readOnly="false">
      <xsd:simpleType>
        <xsd:restriction base="dms:Text"/>
      </xsd:simpleType>
    </xsd:element>
    <xsd:element name="Topic" ma:index="20" nillable="true" ma:displayName="Topic" ma:default="CBD"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External|1104eb68-55d8-494f-b6ba-c5473579de73"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3;#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3fee45-83ed-493f-9c2d-b390e9020356" elementFormDefault="qualified">
    <xsd:import namespace="http://schemas.microsoft.com/office/2006/documentManagement/types"/>
    <xsd:import namespace="http://schemas.microsoft.com/office/infopath/2007/PartnerControls"/>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MediaLengthInSeconds" ma:index="36" nillable="true" ma:displayName="MediaLengthInSeconds" ma:hidden="true" ma:internalName="MediaLengthInSeconds" ma:readOnly="true">
      <xsd:simpleType>
        <xsd:restriction base="dms:Unknown"/>
      </xsd:simpleType>
    </xsd:element>
    <xsd:element name="MediaServiceBillingMetadata" ma:index="4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3010ce-a6df-4592-b7e4-3af05f3a2507" elementFormDefault="qualified">
    <xsd:import namespace="http://schemas.microsoft.com/office/2006/documentManagement/types"/>
    <xsd:import namespace="http://schemas.microsoft.com/office/infopath/2007/PartnerControls"/>
    <xsd:element name="SharedWithUsers" ma:index="3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AFEDDB-19D2-443B-B08B-3513AAD71237}">
  <ds:schemaRefs>
    <ds:schemaRef ds:uri="Microsoft.SharePoint.Taxonomy.ContentTypeSync"/>
  </ds:schemaRefs>
</ds:datastoreItem>
</file>

<file path=customXml/itemProps2.xml><?xml version="1.0" encoding="utf-8"?>
<ds:datastoreItem xmlns:ds="http://schemas.openxmlformats.org/officeDocument/2006/customXml" ds:itemID="{7E1D64BD-C18F-45FA-9B55-B020FE704EB0}">
  <ds:schemaRefs>
    <ds:schemaRef ds:uri="http://schemas.microsoft.com/office/2006/documentManagement/types"/>
    <ds:schemaRef ds:uri="662745e8-e224-48e8-a2e3-254862b8c2f5"/>
    <ds:schemaRef ds:uri="http://www.w3.org/XML/1998/namespace"/>
    <ds:schemaRef ds:uri="http://schemas.microsoft.com/sharepoint/v3"/>
    <ds:schemaRef ds:uri="http://purl.org/dc/dcmitype/"/>
    <ds:schemaRef ds:uri="0b3fee45-83ed-493f-9c2d-b390e9020356"/>
    <ds:schemaRef ds:uri="http://schemas.microsoft.com/office/2006/metadata/properties"/>
    <ds:schemaRef ds:uri="083010ce-a6df-4592-b7e4-3af05f3a2507"/>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7458459E-34F6-4317-B399-1EF1A5D41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2745e8-e224-48e8-a2e3-254862b8c2f5"/>
    <ds:schemaRef ds:uri="0b3fee45-83ed-493f-9c2d-b390e9020356"/>
    <ds:schemaRef ds:uri="083010ce-a6df-4592-b7e4-3af05f3a25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49E4B8A-9BCD-4787-9EDC-F1DC0375BE0A}">
  <ds:schemaRefs>
    <ds:schemaRef ds:uri="http://schemas.microsoft.com/sharepoint/v3/contenttype/forms"/>
  </ds:schemaRefs>
</ds:datastoreItem>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 Sheet</vt:lpstr>
      <vt:lpstr>Inputs</vt:lpstr>
      <vt:lpstr>Milestone Proportions</vt:lpstr>
      <vt:lpstr>GBFF Pot</vt:lpstr>
      <vt:lpstr>Project Data</vt:lpstr>
      <vt:lpstr>Milestones</vt:lpstr>
      <vt:lpstr>Aggregate AR Results</vt:lpstr>
      <vt:lpstr>Aggregate ICF Results</vt:lpstr>
      <vt:lpstr>AR25 Results</vt:lpstr>
      <vt:lpstr>AR26 Results</vt:lpstr>
      <vt:lpstr>AR27 Results</vt:lpstr>
      <vt:lpstr>Log Frame</vt:lpstr>
      <vt:lpstr>ICF 25</vt:lpstr>
      <vt:lpstr>ICF 26</vt:lpstr>
      <vt:lpstr>DI 25</vt:lpstr>
      <vt:lpstr>DI 26</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Logical Framework</dc:title>
  <dc:subject/>
  <dc:creator>David Grocott</dc:creator>
  <cp:keywords/>
  <dc:description/>
  <cp:lastModifiedBy>Charlie Makin</cp:lastModifiedBy>
  <cp:revision/>
  <dcterms:created xsi:type="dcterms:W3CDTF">2010-10-26T15:58:14Z</dcterms:created>
  <dcterms:modified xsi:type="dcterms:W3CDTF">2026-09-08T08:13:32Z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0x010100A5BF1C78D9F64B679A5EBDE1C6598EBC0100F5B904C709910646B070DAB1EA7D4E8D</vt:lpwstr>
  </property>
  <property fmtid="{D5CDD505-2E9C-101B-9397-08002B2CF9AE}" pid="4" name="MSIP_Label_e4c996da-17fa-4fc5-8989-2758fb4cf86b_Enabled">
    <vt:lpwstr>true</vt:lpwstr>
  </property>
  <property fmtid="{D5CDD505-2E9C-101B-9397-08002B2CF9AE}" pid="5" name="MSIP_Label_e4c996da-17fa-4fc5-8989-2758fb4cf86b_SetDate">
    <vt:lpwstr>2022-02-08T13:26:29Z</vt:lpwstr>
  </property>
  <property fmtid="{D5CDD505-2E9C-101B-9397-08002B2CF9AE}" pid="6" name="MSIP_Label_e4c996da-17fa-4fc5-8989-2758fb4cf86b_Method">
    <vt:lpwstr>Privileged</vt:lpwstr>
  </property>
  <property fmtid="{D5CDD505-2E9C-101B-9397-08002B2CF9AE}" pid="7" name="MSIP_Label_e4c996da-17fa-4fc5-8989-2758fb4cf86b_Name">
    <vt:lpwstr>OFFICIAL</vt:lpwstr>
  </property>
  <property fmtid="{D5CDD505-2E9C-101B-9397-08002B2CF9AE}" pid="8" name="MSIP_Label_e4c996da-17fa-4fc5-8989-2758fb4cf86b_SiteId">
    <vt:lpwstr>cdf709af-1a18-4c74-bd93-6d14a64d73b3</vt:lpwstr>
  </property>
  <property fmtid="{D5CDD505-2E9C-101B-9397-08002B2CF9AE}" pid="9" name="MSIP_Label_e4c996da-17fa-4fc5-8989-2758fb4cf86b_ActionId">
    <vt:lpwstr>0fe7cad3-b7e4-4a33-8102-f5e0d2435b05</vt:lpwstr>
  </property>
  <property fmtid="{D5CDD505-2E9C-101B-9397-08002B2CF9AE}" pid="10" name="MSIP_Label_e4c996da-17fa-4fc5-8989-2758fb4cf86b_ContentBits">
    <vt:lpwstr>1</vt:lpwstr>
  </property>
  <property fmtid="{D5CDD505-2E9C-101B-9397-08002B2CF9AE}" pid="11" name="MSIP_Label_9e9cc48d-6fba-4c12-9882-137473def580_Enabled">
    <vt:lpwstr>true</vt:lpwstr>
  </property>
  <property fmtid="{D5CDD505-2E9C-101B-9397-08002B2CF9AE}" pid="12" name="MSIP_Label_9e9cc48d-6fba-4c12-9882-137473def580_SetDate">
    <vt:lpwstr>2022-06-24T01:27:43Z</vt:lpwstr>
  </property>
  <property fmtid="{D5CDD505-2E9C-101B-9397-08002B2CF9AE}" pid="13" name="MSIP_Label_9e9cc48d-6fba-4c12-9882-137473def580_Method">
    <vt:lpwstr>Privileged</vt:lpwstr>
  </property>
  <property fmtid="{D5CDD505-2E9C-101B-9397-08002B2CF9AE}" pid="14" name="MSIP_Label_9e9cc48d-6fba-4c12-9882-137473def580_Name">
    <vt:lpwstr>Official</vt:lpwstr>
  </property>
  <property fmtid="{D5CDD505-2E9C-101B-9397-08002B2CF9AE}" pid="15" name="MSIP_Label_9e9cc48d-6fba-4c12-9882-137473def580_SiteId">
    <vt:lpwstr>d3a2d0d3-7cc8-4f52-bbf9-85bd43d94279</vt:lpwstr>
  </property>
  <property fmtid="{D5CDD505-2E9C-101B-9397-08002B2CF9AE}" pid="16" name="MSIP_Label_9e9cc48d-6fba-4c12-9882-137473def580_ActionId">
    <vt:lpwstr>fb51ceda-8a2b-4744-8e5b-535801d7ab9b</vt:lpwstr>
  </property>
  <property fmtid="{D5CDD505-2E9C-101B-9397-08002B2CF9AE}" pid="17" name="MSIP_Label_9e9cc48d-6fba-4c12-9882-137473def580_ContentBits">
    <vt:lpwstr>0</vt:lpwstr>
  </property>
  <property fmtid="{D5CDD505-2E9C-101B-9397-08002B2CF9AE}" pid="18" name="MediaServiceImageTags">
    <vt:lpwstr/>
  </property>
  <property fmtid="{D5CDD505-2E9C-101B-9397-08002B2CF9AE}" pid="19" name="InformationType">
    <vt:lpwstr/>
  </property>
  <property fmtid="{D5CDD505-2E9C-101B-9397-08002B2CF9AE}" pid="20" name="Distribution">
    <vt:lpwstr>9;#External|1104eb68-55d8-494f-b6ba-c5473579de73</vt:lpwstr>
  </property>
  <property fmtid="{D5CDD505-2E9C-101B-9397-08002B2CF9AE}" pid="21" name="HOCopyrightLevel">
    <vt:lpwstr>1;#Crown|69589897-2828-4761-976e-717fd8e631c9</vt:lpwstr>
  </property>
  <property fmtid="{D5CDD505-2E9C-101B-9397-08002B2CF9AE}" pid="22" name="HOGovernmentSecurityClassification">
    <vt:lpwstr>2;#Official|14c80daa-741b-422c-9722-f71693c9ede4</vt:lpwstr>
  </property>
  <property fmtid="{D5CDD505-2E9C-101B-9397-08002B2CF9AE}" pid="23" name="OrganisationalUnit">
    <vt:lpwstr>3;#Core Defra|026223dd-2e56-4615-868d-7c5bfd566810</vt:lpwstr>
  </property>
  <property fmtid="{D5CDD505-2E9C-101B-9397-08002B2CF9AE}" pid="24" name="HOSiteType">
    <vt:lpwstr>10;#Team|ff0485df-0575-416f-802f-e999165821b7</vt:lpwstr>
  </property>
</Properties>
</file>