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efra-my.sharepoint.com/personal/sabah_rahou_defra_gov_uk/Documents/Defra/Work/Devflow/D+/"/>
    </mc:Choice>
  </mc:AlternateContent>
  <xr:revisionPtr revIDLastSave="10" documentId="8_{84AE3330-9974-4925-9D0F-FAFC8E0E95AA}" xr6:coauthVersionLast="47" xr6:coauthVersionMax="47" xr10:uidLastSave="{5EF8F249-3384-48E2-ADA9-0E8A26CF8E8F}"/>
  <bookViews>
    <workbookView xWindow="20370" yWindow="-120" windowWidth="29040" windowHeight="15720" tabRatio="724" xr2:uid="{01E34485-D5F6-48F5-B3F3-65E039E73225}"/>
  </bookViews>
  <sheets>
    <sheet name="DPLUS_2024_Synthesis" sheetId="22" r:id="rId1"/>
    <sheet name="Summary" sheetId="23" r:id="rId2"/>
    <sheet name="Funding" sheetId="21" r:id="rId3"/>
    <sheet name="Reporting" sheetId="25" r:id="rId4"/>
    <sheet name="Indicators" sheetId="7" r:id="rId5"/>
    <sheet name="Indicators not reported against" sheetId="29" r:id="rId6"/>
    <sheet name="Targets" sheetId="34" r:id="rId7"/>
    <sheet name="Explainer on targets" sheetId="35" r:id="rId8"/>
    <sheet name="VfM" sheetId="36" r:id="rId9"/>
    <sheet name="Data_2024" sheetId="32" r:id="rId10"/>
    <sheet name="Projects" sheetId="33" r:id="rId11"/>
    <sheet name="Data23_24_Synth_Combined" sheetId="4" r:id="rId12"/>
    <sheet name="Grant Values and Funding 23_24" sheetId="31" r:id="rId13"/>
    <sheet name="Data_Planned" sheetId="12" r:id="rId14"/>
    <sheet name="Years" sheetId="6" r:id="rId15"/>
    <sheet name="Rounds" sheetId="5" r:id="rId16"/>
    <sheet name="List" sheetId="8" r:id="rId17"/>
    <sheet name="Wrangling Target" sheetId="20" state="hidden" r:id="rId18"/>
    <sheet name="Wrangling Target OLD" sheetId="16" state="hidden" r:id="rId19"/>
    <sheet name="Wrangling round SI reporting" sheetId="17" state="hidden" r:id="rId20"/>
  </sheets>
  <definedNames>
    <definedName name="_xlnm._FilterDatabase" localSheetId="9" hidden="1">Data_2024!$A$1:$T$439</definedName>
    <definedName name="_xlnm._FilterDatabase" localSheetId="10" hidden="1">Projects!$A$1:$S$136</definedName>
    <definedName name="_xlchart.v1.0" hidden="1">Data_2024!$D$2:$D$439</definedName>
    <definedName name="_xlchart.v1.1" hidden="1">Data_2024!$S$1</definedName>
    <definedName name="_xlchart.v1.2" hidden="1">Data_2024!$S$2:$S$439</definedName>
    <definedName name="bmkCustomer" localSheetId="9">Data_2024!#REF!</definedName>
    <definedName name="bmkCustomer" localSheetId="11">Data23_24_Synth_Combined!#REF!</definedName>
    <definedName name="bmkCustomer" localSheetId="0">DPLUS_2024_Synthesis!#REF!</definedName>
    <definedName name="bmkCustomer" localSheetId="7">'Explainer on targets'!#REF!</definedName>
    <definedName name="bmkCustomer" localSheetId="2">Funding!#REF!</definedName>
    <definedName name="bmkCustomer" localSheetId="12">'Grant Values and Funding 23_24'!#REF!</definedName>
    <definedName name="bmkCustomer" localSheetId="4">Indicators!#REF!</definedName>
    <definedName name="bmkCustomer" localSheetId="5">'Indicators not reported against'!#REF!</definedName>
    <definedName name="bmkCustomer" localSheetId="16">List!#REF!</definedName>
    <definedName name="bmkCustomer" localSheetId="10">Projects!#REF!</definedName>
    <definedName name="bmkCustomer" localSheetId="3">Reporting!#REF!</definedName>
    <definedName name="bmkCustomer" localSheetId="15">Rounds!#REF!</definedName>
    <definedName name="bmkCustomer" localSheetId="1">Summary!#REF!</definedName>
    <definedName name="bmkCustomer" localSheetId="6">Targets!#REF!</definedName>
    <definedName name="bmkCustomer" localSheetId="8">VfM!#REF!</definedName>
    <definedName name="bmkCustomer" localSheetId="14">Years!#REF!</definedName>
    <definedName name="bmkProjektnr1" localSheetId="9">Data_2024!#REF!</definedName>
    <definedName name="bmkProjektnr1" localSheetId="11">Data23_24_Synth_Combined!#REF!</definedName>
    <definedName name="bmkProjektnr1" localSheetId="0">DPLUS_2024_Synthesis!#REF!</definedName>
    <definedName name="bmkProjektnr1" localSheetId="7">'Explainer on targets'!#REF!</definedName>
    <definedName name="bmkProjektnr1" localSheetId="2">Funding!#REF!</definedName>
    <definedName name="bmkProjektnr1" localSheetId="12">'Grant Values and Funding 23_24'!#REF!</definedName>
    <definedName name="bmkProjektnr1" localSheetId="4">Indicators!#REF!</definedName>
    <definedName name="bmkProjektnr1" localSheetId="5">'Indicators not reported against'!#REF!</definedName>
    <definedName name="bmkProjektnr1" localSheetId="16">List!#REF!</definedName>
    <definedName name="bmkProjektnr1" localSheetId="10">Projects!#REF!</definedName>
    <definedName name="bmkProjektnr1" localSheetId="3">Reporting!#REF!</definedName>
    <definedName name="bmkProjektnr1" localSheetId="15">Rounds!#REF!</definedName>
    <definedName name="bmkProjektnr1" localSheetId="1">Summary!#REF!</definedName>
    <definedName name="bmkProjektnr1" localSheetId="6">Targets!#REF!</definedName>
    <definedName name="bmkProjektnr1" localSheetId="8">VfM!#REF!</definedName>
    <definedName name="bmkProjektnr1" localSheetId="14">Years!#REF!</definedName>
    <definedName name="Slicer_Scheme">#N/A</definedName>
    <definedName name="Slicer_V1.0_standard_Indicator_reference">#N/A</definedName>
  </definedNames>
  <calcPr calcId="191028"/>
  <pivotCaches>
    <pivotCache cacheId="0" r:id="rId21"/>
    <pivotCache cacheId="1" r:id="rId22"/>
    <pivotCache cacheId="2" r:id="rId23"/>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4"/>
        <x14:slicerCache r:id="rId2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23" l="1"/>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M37" i="23"/>
  <c r="M38" i="23"/>
  <c r="M40" i="23"/>
  <c r="M41" i="23"/>
  <c r="M42" i="23"/>
  <c r="M43" i="23"/>
  <c r="M44" i="23"/>
  <c r="M45" i="23"/>
  <c r="M46" i="23"/>
  <c r="M47" i="23"/>
  <c r="M48" i="23"/>
  <c r="M49" i="23"/>
  <c r="M50" i="23"/>
  <c r="M51" i="23"/>
  <c r="M52" i="23"/>
  <c r="M53" i="23"/>
  <c r="M54" i="23"/>
  <c r="M55" i="23"/>
  <c r="M56" i="23"/>
  <c r="M57" i="23"/>
  <c r="M58" i="23"/>
  <c r="M59" i="23"/>
  <c r="M60" i="23"/>
  <c r="M61" i="23"/>
  <c r="M62" i="23"/>
  <c r="M63" i="23"/>
  <c r="M4" i="23"/>
  <c r="N4" i="23"/>
  <c r="F71" i="22" a="1"/>
  <c r="F71" i="22" s="1"/>
  <c r="G71" i="22" a="1"/>
  <c r="G71" i="22" s="1"/>
  <c r="F72" i="22" a="1"/>
  <c r="F72" i="22" s="1"/>
  <c r="G72" i="22" a="1"/>
  <c r="G72" i="22" s="1"/>
  <c r="D42" i="22"/>
  <c r="I42" i="22"/>
  <c r="H42" i="22"/>
  <c r="G42" i="22"/>
  <c r="F42" i="22"/>
  <c r="E42" i="22"/>
  <c r="I40" i="22"/>
  <c r="H40" i="22"/>
  <c r="G40" i="22"/>
  <c r="F40" i="22"/>
  <c r="E40" i="22"/>
  <c r="D40" i="22"/>
  <c r="I39" i="22"/>
  <c r="H39" i="22"/>
  <c r="G39" i="22"/>
  <c r="F39" i="22"/>
  <c r="E39" i="22"/>
  <c r="D39" i="22"/>
  <c r="I38" i="22"/>
  <c r="H38" i="22"/>
  <c r="G38" i="22"/>
  <c r="F38" i="22"/>
  <c r="E38" i="22"/>
  <c r="D38" i="22"/>
  <c r="I37" i="22"/>
  <c r="H37" i="22"/>
  <c r="G37" i="22"/>
  <c r="F37" i="22"/>
  <c r="E37" i="22"/>
  <c r="D37" i="22"/>
  <c r="I34" i="22"/>
  <c r="H34" i="22"/>
  <c r="G34" i="22"/>
  <c r="F34" i="22"/>
  <c r="E34" i="22"/>
  <c r="D34" i="22"/>
  <c r="I33" i="22"/>
  <c r="H33" i="22"/>
  <c r="G33" i="22"/>
  <c r="F33" i="22"/>
  <c r="E33" i="22"/>
  <c r="D33" i="22"/>
  <c r="I32" i="22"/>
  <c r="H32" i="22"/>
  <c r="G32" i="22"/>
  <c r="F32" i="22"/>
  <c r="E32" i="22"/>
  <c r="D32" i="22"/>
  <c r="I31" i="22"/>
  <c r="H31" i="22"/>
  <c r="G31" i="22"/>
  <c r="F31" i="22"/>
  <c r="E31" i="22"/>
  <c r="D31" i="22"/>
  <c r="I27" i="22"/>
  <c r="H27" i="22"/>
  <c r="G27" i="22"/>
  <c r="F27" i="22"/>
  <c r="E27" i="22"/>
  <c r="D27" i="22"/>
  <c r="E26" i="22"/>
  <c r="D26" i="22"/>
  <c r="E25" i="22"/>
  <c r="D25" i="22"/>
  <c r="E24" i="22"/>
  <c r="D24" i="22"/>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55" i="34"/>
  <c r="E56" i="34"/>
  <c r="E57" i="34"/>
  <c r="E58" i="34"/>
  <c r="E59" i="34"/>
  <c r="E60" i="34"/>
  <c r="E61" i="34"/>
  <c r="E2" i="34"/>
  <c r="D46" i="22" l="1"/>
  <c r="D45" i="22"/>
  <c r="Q481" i="32" l="1"/>
  <c r="F305"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1" i="32"/>
  <c r="F332" i="32"/>
  <c r="F333" i="32"/>
  <c r="F334" i="32"/>
  <c r="F330" i="32"/>
  <c r="F324" i="32"/>
  <c r="F318" i="32"/>
  <c r="F319" i="32"/>
  <c r="F320" i="32"/>
  <c r="F317" i="32"/>
  <c r="S314" i="32"/>
  <c r="R314" i="32"/>
  <c r="F316" i="32"/>
  <c r="F312" i="32"/>
  <c r="F313" i="32"/>
  <c r="F314" i="32"/>
  <c r="F315" i="32"/>
  <c r="F309" i="32"/>
  <c r="F306" i="32"/>
  <c r="F304" i="32"/>
  <c r="F307" i="32"/>
  <c r="F308" i="32"/>
  <c r="F310" i="32"/>
  <c r="F311" i="32"/>
  <c r="F303" i="32"/>
  <c r="F294" i="32"/>
  <c r="F293" i="32"/>
  <c r="F292" i="32"/>
  <c r="F291" i="32"/>
  <c r="F290" i="32"/>
  <c r="F289" i="32"/>
  <c r="F288" i="32"/>
  <c r="R287" i="32"/>
  <c r="F286" i="32"/>
  <c r="F287" i="32"/>
  <c r="F284" i="32"/>
  <c r="F285" i="32"/>
  <c r="F283" i="32"/>
  <c r="R281" i="32"/>
  <c r="S281" i="32"/>
  <c r="Q281" i="32"/>
  <c r="M39" i="23" s="1"/>
  <c r="R280" i="32"/>
  <c r="S280" i="32"/>
  <c r="Q280" i="32"/>
  <c r="F281" i="32"/>
  <c r="F282" i="32"/>
  <c r="F280" i="32"/>
  <c r="F279" i="32"/>
  <c r="F276" i="32"/>
  <c r="F275" i="32"/>
  <c r="F274" i="32"/>
  <c r="F273" i="32"/>
  <c r="F272" i="32"/>
  <c r="F271" i="32"/>
  <c r="F270" i="32"/>
  <c r="F269" i="32"/>
  <c r="F268" i="32"/>
  <c r="F267" i="32"/>
  <c r="F262" i="32"/>
  <c r="F263" i="32"/>
  <c r="F261" i="32"/>
  <c r="F260" i="32"/>
  <c r="F259" i="32"/>
  <c r="F257" i="32"/>
  <c r="F258" i="32"/>
  <c r="F256" i="32"/>
  <c r="F255" i="32"/>
  <c r="F254" i="32"/>
  <c r="F253" i="32"/>
  <c r="F252" i="32"/>
  <c r="F251" i="32"/>
  <c r="F250" i="32"/>
  <c r="F247" i="32"/>
  <c r="F248" i="32"/>
  <c r="F249" i="32"/>
  <c r="F242" i="32"/>
  <c r="F243" i="32"/>
  <c r="F244" i="32"/>
  <c r="F245" i="32"/>
  <c r="F246" i="32"/>
  <c r="F236" i="32"/>
  <c r="F237" i="32"/>
  <c r="F238" i="32"/>
  <c r="F239" i="32"/>
  <c r="F240" i="32"/>
  <c r="F241" i="32"/>
  <c r="F235" i="32"/>
  <c r="F234" i="32"/>
  <c r="F232" i="32"/>
  <c r="F233" i="32"/>
  <c r="F231" i="32"/>
  <c r="F230" i="32"/>
  <c r="F227" i="32"/>
  <c r="F228" i="32"/>
  <c r="F229" i="32"/>
  <c r="F225" i="32"/>
  <c r="F226" i="32"/>
  <c r="F221" i="32"/>
  <c r="F222" i="32"/>
  <c r="F223" i="32"/>
  <c r="F224" i="32"/>
  <c r="F220" i="32"/>
  <c r="F219" i="32"/>
  <c r="F217" i="32"/>
  <c r="F218" i="32"/>
  <c r="F216" i="32"/>
  <c r="F215" i="32"/>
  <c r="F214" i="32"/>
  <c r="F213" i="32"/>
  <c r="F212" i="32"/>
  <c r="F211" i="32"/>
  <c r="F208" i="32"/>
  <c r="F209" i="32"/>
  <c r="F210" i="32"/>
  <c r="G28" i="22" l="1"/>
  <c r="D41" i="22"/>
  <c r="F28" i="22"/>
  <c r="H28" i="22"/>
  <c r="G41" i="22"/>
  <c r="F41" i="22"/>
  <c r="I41" i="22"/>
  <c r="H41" i="22"/>
  <c r="E41" i="22"/>
  <c r="I28" i="22"/>
  <c r="N5" i="23" l="1"/>
  <c r="N6" i="23"/>
  <c r="N7" i="23"/>
  <c r="N8" i="23"/>
  <c r="N9" i="23"/>
  <c r="N10" i="23"/>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Q57" i="23" l="1"/>
  <c r="T57" i="23" s="1"/>
  <c r="S57" i="23"/>
  <c r="Q56" i="23"/>
  <c r="T56" i="23" s="1"/>
  <c r="S56" i="23"/>
  <c r="Q55" i="23"/>
  <c r="T55" i="23" s="1"/>
  <c r="S55" i="23"/>
  <c r="Q39" i="23"/>
  <c r="T39" i="23" s="1"/>
  <c r="S39" i="23"/>
  <c r="Q23" i="23"/>
  <c r="T23" i="23" s="1"/>
  <c r="S23" i="23"/>
  <c r="Q7" i="23"/>
  <c r="T7" i="23" s="1"/>
  <c r="S7" i="23"/>
  <c r="Q53" i="23"/>
  <c r="T53" i="23" s="1"/>
  <c r="S53" i="23"/>
  <c r="Q54" i="23"/>
  <c r="T54" i="23" s="1"/>
  <c r="S54" i="23"/>
  <c r="Q52" i="23"/>
  <c r="T52" i="23" s="1"/>
  <c r="S52" i="23"/>
  <c r="Q36" i="23"/>
  <c r="T36" i="23" s="1"/>
  <c r="S36" i="23"/>
  <c r="Q20" i="23"/>
  <c r="T20" i="23" s="1"/>
  <c r="S20" i="23"/>
  <c r="Q4" i="23"/>
  <c r="T4" i="23" s="1"/>
  <c r="S4" i="23"/>
  <c r="Q5" i="23"/>
  <c r="T5" i="23" s="1"/>
  <c r="S5" i="23"/>
  <c r="Q51" i="23"/>
  <c r="T51" i="23" s="1"/>
  <c r="S51" i="23"/>
  <c r="Q35" i="23"/>
  <c r="T35" i="23" s="1"/>
  <c r="S35" i="23"/>
  <c r="Q19" i="23"/>
  <c r="T19" i="23" s="1"/>
  <c r="S19" i="23"/>
  <c r="Q22" i="23"/>
  <c r="T22" i="23" s="1"/>
  <c r="S22" i="23"/>
  <c r="Q34" i="23"/>
  <c r="T34" i="23" s="1"/>
  <c r="S34" i="23"/>
  <c r="Q18" i="23"/>
  <c r="T18" i="23" s="1"/>
  <c r="S18" i="23"/>
  <c r="Q49" i="23"/>
  <c r="T49" i="23" s="1"/>
  <c r="S49" i="23"/>
  <c r="Q33" i="23"/>
  <c r="T33" i="23" s="1"/>
  <c r="S33" i="23"/>
  <c r="Q17" i="23"/>
  <c r="T17" i="23" s="1"/>
  <c r="S17" i="23"/>
  <c r="Q6" i="23"/>
  <c r="T6" i="23" s="1"/>
  <c r="S6" i="23"/>
  <c r="Q21" i="23"/>
  <c r="T21" i="23" s="1"/>
  <c r="S21" i="23"/>
  <c r="Q50" i="23"/>
  <c r="T50" i="23" s="1"/>
  <c r="S50" i="23"/>
  <c r="Q48" i="23"/>
  <c r="T48" i="23" s="1"/>
  <c r="S48" i="23"/>
  <c r="Q32" i="23"/>
  <c r="T32" i="23" s="1"/>
  <c r="S32" i="23"/>
  <c r="Q16" i="23"/>
  <c r="T16" i="23" s="1"/>
  <c r="S16" i="23"/>
  <c r="Q38" i="23"/>
  <c r="T38" i="23" s="1"/>
  <c r="S38" i="23"/>
  <c r="Q37" i="23"/>
  <c r="T37" i="23" s="1"/>
  <c r="S37" i="23"/>
  <c r="Q63" i="23"/>
  <c r="T63" i="23" s="1"/>
  <c r="S63" i="23"/>
  <c r="Q47" i="23"/>
  <c r="T47" i="23" s="1"/>
  <c r="S47" i="23"/>
  <c r="Q31" i="23"/>
  <c r="T31" i="23" s="1"/>
  <c r="S31" i="23"/>
  <c r="Q15" i="23"/>
  <c r="T15" i="23" s="1"/>
  <c r="S15" i="23"/>
  <c r="Q62" i="23"/>
  <c r="T62" i="23" s="1"/>
  <c r="S62" i="23"/>
  <c r="Q46" i="23"/>
  <c r="T46" i="23" s="1"/>
  <c r="S46" i="23"/>
  <c r="Q30" i="23"/>
  <c r="T30" i="23" s="1"/>
  <c r="S30" i="23"/>
  <c r="Q14" i="23"/>
  <c r="T14" i="23" s="1"/>
  <c r="S14" i="23"/>
  <c r="Q61" i="23"/>
  <c r="T61" i="23" s="1"/>
  <c r="S61" i="23"/>
  <c r="Q45" i="23"/>
  <c r="T45" i="23" s="1"/>
  <c r="S45" i="23"/>
  <c r="Q29" i="23"/>
  <c r="T29" i="23" s="1"/>
  <c r="S29" i="23"/>
  <c r="Q13" i="23"/>
  <c r="T13" i="23" s="1"/>
  <c r="S13" i="23"/>
  <c r="Q44" i="23"/>
  <c r="T44" i="23" s="1"/>
  <c r="S44" i="23"/>
  <c r="Q28" i="23"/>
  <c r="T28" i="23" s="1"/>
  <c r="S28" i="23"/>
  <c r="Q12" i="23"/>
  <c r="T12" i="23" s="1"/>
  <c r="S12" i="23"/>
  <c r="Q59" i="23"/>
  <c r="T59" i="23" s="1"/>
  <c r="S59" i="23"/>
  <c r="Q43" i="23"/>
  <c r="T43" i="23" s="1"/>
  <c r="S43" i="23"/>
  <c r="Q27" i="23"/>
  <c r="T27" i="23" s="1"/>
  <c r="S27" i="23"/>
  <c r="Q11" i="23"/>
  <c r="T11" i="23" s="1"/>
  <c r="S11" i="23"/>
  <c r="Q58" i="23"/>
  <c r="T58" i="23" s="1"/>
  <c r="S58" i="23"/>
  <c r="Q42" i="23"/>
  <c r="T42" i="23" s="1"/>
  <c r="S42" i="23"/>
  <c r="Q26" i="23"/>
  <c r="T26" i="23" s="1"/>
  <c r="S26" i="23"/>
  <c r="Q10" i="23"/>
  <c r="T10" i="23" s="1"/>
  <c r="S10" i="23"/>
  <c r="Q41" i="23"/>
  <c r="T41" i="23" s="1"/>
  <c r="S41" i="23"/>
  <c r="Q25" i="23"/>
  <c r="T25" i="23" s="1"/>
  <c r="S25" i="23"/>
  <c r="Q9" i="23"/>
  <c r="T9" i="23" s="1"/>
  <c r="S9" i="23"/>
  <c r="Q60" i="23"/>
  <c r="T60" i="23" s="1"/>
  <c r="S60" i="23"/>
  <c r="Q40" i="23"/>
  <c r="T40" i="23" s="1"/>
  <c r="S40" i="23"/>
  <c r="Q24" i="23"/>
  <c r="T24" i="23" s="1"/>
  <c r="S24" i="23"/>
  <c r="Q8" i="23"/>
  <c r="T8" i="23" s="1"/>
  <c r="S8" i="23"/>
  <c r="J5" i="23" a="1"/>
  <c r="J5" i="23" s="1"/>
  <c r="J6" i="23" a="1"/>
  <c r="J6" i="23" s="1"/>
  <c r="J7" i="23" a="1"/>
  <c r="J7" i="23" s="1"/>
  <c r="J8" i="23" a="1"/>
  <c r="J8" i="23" s="1"/>
  <c r="J9" i="23" a="1"/>
  <c r="J9" i="23" s="1"/>
  <c r="J10" i="23" a="1"/>
  <c r="J10" i="23" s="1"/>
  <c r="J11" i="23" a="1"/>
  <c r="J11" i="23" s="1"/>
  <c r="J12" i="23" a="1"/>
  <c r="J12" i="23" s="1"/>
  <c r="J13" i="23" a="1"/>
  <c r="J13" i="23" s="1"/>
  <c r="J14" i="23" a="1"/>
  <c r="J14" i="23" s="1"/>
  <c r="J15" i="23" a="1"/>
  <c r="J15" i="23" s="1"/>
  <c r="J16" i="23" a="1"/>
  <c r="J16" i="23" s="1"/>
  <c r="J17" i="23" a="1"/>
  <c r="J17" i="23" s="1"/>
  <c r="J18" i="23" a="1"/>
  <c r="J18" i="23" s="1"/>
  <c r="J19" i="23" a="1"/>
  <c r="J19" i="23" s="1"/>
  <c r="J20" i="23" a="1"/>
  <c r="J20" i="23" s="1"/>
  <c r="J21" i="23" a="1"/>
  <c r="J21" i="23" s="1"/>
  <c r="J22" i="23" a="1"/>
  <c r="J22" i="23" s="1"/>
  <c r="J23" i="23" a="1"/>
  <c r="J23" i="23" s="1"/>
  <c r="J24" i="23" a="1"/>
  <c r="J24" i="23" s="1"/>
  <c r="J25" i="23" a="1"/>
  <c r="J25" i="23" s="1"/>
  <c r="J26" i="23" a="1"/>
  <c r="J26" i="23" s="1"/>
  <c r="J27" i="23" a="1"/>
  <c r="J27" i="23" s="1"/>
  <c r="J28" i="23" a="1"/>
  <c r="J28" i="23" s="1"/>
  <c r="J29" i="23" a="1"/>
  <c r="J29" i="23" s="1"/>
  <c r="J30" i="23" a="1"/>
  <c r="J30" i="23" s="1"/>
  <c r="J31" i="23" a="1"/>
  <c r="J31" i="23" s="1"/>
  <c r="J32" i="23" a="1"/>
  <c r="J32" i="23" s="1"/>
  <c r="J33" i="23" a="1"/>
  <c r="J33" i="23" s="1"/>
  <c r="J34" i="23" a="1"/>
  <c r="J34" i="23" s="1"/>
  <c r="J35" i="23" a="1"/>
  <c r="J35" i="23" s="1"/>
  <c r="J36" i="23" a="1"/>
  <c r="J36" i="23" s="1"/>
  <c r="J37" i="23" a="1"/>
  <c r="J37" i="23" s="1"/>
  <c r="J38" i="23" a="1"/>
  <c r="J38" i="23" s="1"/>
  <c r="J39" i="23" a="1"/>
  <c r="J39" i="23" s="1"/>
  <c r="J40" i="23" a="1"/>
  <c r="J40" i="23" s="1"/>
  <c r="J41" i="23" a="1"/>
  <c r="J41" i="23" s="1"/>
  <c r="J42" i="23" a="1"/>
  <c r="J42" i="23" s="1"/>
  <c r="J43" i="23" a="1"/>
  <c r="J43" i="23" s="1"/>
  <c r="J44" i="23" a="1"/>
  <c r="J44" i="23" s="1"/>
  <c r="J45" i="23" a="1"/>
  <c r="J45" i="23" s="1"/>
  <c r="J46" i="23" a="1"/>
  <c r="J46" i="23" s="1"/>
  <c r="J47" i="23" a="1"/>
  <c r="J47" i="23" s="1"/>
  <c r="J48" i="23" a="1"/>
  <c r="J48" i="23" s="1"/>
  <c r="J49" i="23" a="1"/>
  <c r="J49" i="23" s="1"/>
  <c r="J50" i="23" a="1"/>
  <c r="J50" i="23" s="1"/>
  <c r="J51" i="23" a="1"/>
  <c r="J51" i="23" s="1"/>
  <c r="J52" i="23" a="1"/>
  <c r="J52" i="23" s="1"/>
  <c r="J53" i="23" a="1"/>
  <c r="J53" i="23" s="1"/>
  <c r="J54" i="23" a="1"/>
  <c r="J54" i="23" s="1"/>
  <c r="J55" i="23" a="1"/>
  <c r="J55" i="23" s="1"/>
  <c r="J56" i="23" a="1"/>
  <c r="J56" i="23" s="1"/>
  <c r="J57" i="23" a="1"/>
  <c r="J57" i="23" s="1"/>
  <c r="J58" i="23" a="1"/>
  <c r="J58" i="23" s="1"/>
  <c r="J59" i="23" a="1"/>
  <c r="J59" i="23" s="1"/>
  <c r="J60" i="23" a="1"/>
  <c r="J60" i="23" s="1"/>
  <c r="J61" i="23" a="1"/>
  <c r="J61" i="23" s="1"/>
  <c r="J62" i="23" a="1"/>
  <c r="J62" i="23" s="1"/>
  <c r="J63" i="23" a="1"/>
  <c r="J63" i="23" s="1"/>
  <c r="J4" i="23" a="1"/>
  <c r="J4" i="23" s="1"/>
  <c r="H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H6" i="23"/>
  <c r="H5" i="23"/>
  <c r="F4"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E4" i="23"/>
  <c r="F63" i="23" l="1"/>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E5" i="23"/>
  <c r="E6"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D8" i="23" a="1"/>
  <c r="D8" i="23" s="1"/>
  <c r="D9" i="23" a="1"/>
  <c r="D9" i="23" s="1"/>
  <c r="D10" i="23" a="1"/>
  <c r="D10" i="23" s="1"/>
  <c r="D11" i="23" a="1"/>
  <c r="D11" i="23" s="1"/>
  <c r="D12" i="23" a="1"/>
  <c r="D12" i="23" s="1"/>
  <c r="D13" i="23" a="1"/>
  <c r="D13" i="23" s="1"/>
  <c r="D14" i="23" a="1"/>
  <c r="D14" i="23" s="1"/>
  <c r="D15" i="23" a="1"/>
  <c r="D15" i="23" s="1"/>
  <c r="D16" i="23" a="1"/>
  <c r="D16" i="23" s="1"/>
  <c r="D17" i="23" a="1"/>
  <c r="D17" i="23" s="1"/>
  <c r="D18" i="23" a="1"/>
  <c r="D18" i="23" s="1"/>
  <c r="D19" i="23" a="1"/>
  <c r="D19" i="23" s="1"/>
  <c r="D20" i="23" a="1"/>
  <c r="D20" i="23" s="1"/>
  <c r="D21" i="23" a="1"/>
  <c r="D21" i="23" s="1"/>
  <c r="D22" i="23" a="1"/>
  <c r="D22" i="23" s="1"/>
  <c r="D23" i="23" a="1"/>
  <c r="D23" i="23" s="1"/>
  <c r="D24" i="23" a="1"/>
  <c r="D24" i="23" s="1"/>
  <c r="D25" i="23" a="1"/>
  <c r="D25" i="23" s="1"/>
  <c r="D26" i="23" a="1"/>
  <c r="D26" i="23" s="1"/>
  <c r="D27" i="23" a="1"/>
  <c r="D27" i="23" s="1"/>
  <c r="D28" i="23" a="1"/>
  <c r="D28" i="23" s="1"/>
  <c r="D29" i="23" a="1"/>
  <c r="D29" i="23" s="1"/>
  <c r="D30" i="23" a="1"/>
  <c r="D30" i="23" s="1"/>
  <c r="D31" i="23" a="1"/>
  <c r="D31" i="23" s="1"/>
  <c r="D32" i="23" a="1"/>
  <c r="D32" i="23" s="1"/>
  <c r="D33" i="23" a="1"/>
  <c r="D33" i="23" s="1"/>
  <c r="D34" i="23" a="1"/>
  <c r="D34" i="23" s="1"/>
  <c r="D35" i="23" a="1"/>
  <c r="D35" i="23" s="1"/>
  <c r="D36" i="23" a="1"/>
  <c r="D36" i="23" s="1"/>
  <c r="D37" i="23" a="1"/>
  <c r="D37" i="23" s="1"/>
  <c r="D38" i="23" a="1"/>
  <c r="D38" i="23" s="1"/>
  <c r="D39" i="23" a="1"/>
  <c r="D39" i="23" s="1"/>
  <c r="D40" i="23" a="1"/>
  <c r="D40" i="23" s="1"/>
  <c r="D41" i="23" a="1"/>
  <c r="D41" i="23" s="1"/>
  <c r="D42" i="23" a="1"/>
  <c r="D42" i="23" s="1"/>
  <c r="D43" i="23" a="1"/>
  <c r="D43" i="23" s="1"/>
  <c r="D44" i="23" a="1"/>
  <c r="D44" i="23" s="1"/>
  <c r="D45" i="23" a="1"/>
  <c r="D45" i="23" s="1"/>
  <c r="D46" i="23" a="1"/>
  <c r="D46" i="23" s="1"/>
  <c r="D47" i="23" a="1"/>
  <c r="D47" i="23" s="1"/>
  <c r="D48" i="23" a="1"/>
  <c r="D48" i="23" s="1"/>
  <c r="D49" i="23" a="1"/>
  <c r="D49" i="23" s="1"/>
  <c r="D50" i="23" a="1"/>
  <c r="D50" i="23" s="1"/>
  <c r="D51" i="23" a="1"/>
  <c r="D51" i="23" s="1"/>
  <c r="D52" i="23" a="1"/>
  <c r="D52" i="23" s="1"/>
  <c r="D53" i="23" a="1"/>
  <c r="D53" i="23" s="1"/>
  <c r="D54" i="23" a="1"/>
  <c r="D54" i="23" s="1"/>
  <c r="D55" i="23" a="1"/>
  <c r="D55" i="23" s="1"/>
  <c r="D56" i="23" a="1"/>
  <c r="D56" i="23" s="1"/>
  <c r="D57" i="23" a="1"/>
  <c r="D57" i="23" s="1"/>
  <c r="D58" i="23" a="1"/>
  <c r="D58" i="23" s="1"/>
  <c r="D59" i="23" a="1"/>
  <c r="D59" i="23" s="1"/>
  <c r="D60" i="23" a="1"/>
  <c r="D60" i="23" s="1"/>
  <c r="D61" i="23" a="1"/>
  <c r="D61" i="23" s="1"/>
  <c r="D62" i="23" a="1"/>
  <c r="D62" i="23" s="1"/>
  <c r="D63" i="23" a="1"/>
  <c r="D63" i="23" s="1"/>
  <c r="D5" i="23" a="1"/>
  <c r="D5" i="23" s="1"/>
  <c r="D6" i="23" a="1"/>
  <c r="D6" i="23" s="1"/>
  <c r="D7" i="23" a="1"/>
  <c r="D7" i="23" s="1"/>
  <c r="D4" i="23" a="1"/>
  <c r="D4" i="23" s="1"/>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F3" i="32"/>
  <c r="F2" i="32"/>
  <c r="T18" i="25" l="1"/>
  <c r="AF18" i="25"/>
  <c r="AR18" i="25"/>
  <c r="BD18" i="25"/>
  <c r="U18" i="25"/>
  <c r="AG18" i="25"/>
  <c r="AS18" i="25"/>
  <c r="BE18" i="25"/>
  <c r="V18" i="25"/>
  <c r="AH18" i="25"/>
  <c r="AT18" i="25"/>
  <c r="BF18" i="25"/>
  <c r="M18" i="25"/>
  <c r="Y18" i="25"/>
  <c r="AK18" i="25"/>
  <c r="AW18" i="25"/>
  <c r="BI18" i="25"/>
  <c r="N18" i="25"/>
  <c r="Z18" i="25"/>
  <c r="AL18" i="25"/>
  <c r="AX18" i="25"/>
  <c r="BJ18" i="25"/>
  <c r="O18" i="25"/>
  <c r="AA18" i="25"/>
  <c r="AM18" i="25"/>
  <c r="AY18" i="25"/>
  <c r="P18" i="25"/>
  <c r="AB18" i="25"/>
  <c r="AN18" i="25"/>
  <c r="AZ18" i="25"/>
  <c r="Q18" i="25"/>
  <c r="AC18" i="25"/>
  <c r="AO18" i="25"/>
  <c r="BA18" i="25"/>
  <c r="AE18" i="25"/>
  <c r="AI18" i="25"/>
  <c r="AJ18" i="25"/>
  <c r="C18" i="25"/>
  <c r="AP18" i="25"/>
  <c r="D18" i="25"/>
  <c r="AQ18" i="25"/>
  <c r="E18" i="25"/>
  <c r="AU18" i="25"/>
  <c r="F18" i="25"/>
  <c r="L18" i="25"/>
  <c r="AV18" i="25"/>
  <c r="G18" i="25"/>
  <c r="R18" i="25"/>
  <c r="BB18" i="25"/>
  <c r="H18" i="25"/>
  <c r="S18" i="25"/>
  <c r="BC18" i="25"/>
  <c r="I18" i="25"/>
  <c r="W18" i="25"/>
  <c r="BG18" i="25"/>
  <c r="X18" i="25"/>
  <c r="BH18" i="25"/>
  <c r="AD18" i="25"/>
  <c r="J18" i="25"/>
  <c r="K18" i="25"/>
  <c r="Q23" i="25"/>
  <c r="AC23" i="25"/>
  <c r="AO23" i="25"/>
  <c r="BA23" i="25"/>
  <c r="S23" i="25"/>
  <c r="AE23" i="25"/>
  <c r="AQ23" i="25"/>
  <c r="BC23" i="25"/>
  <c r="V23" i="25"/>
  <c r="AH23" i="25"/>
  <c r="AT23" i="25"/>
  <c r="BF23" i="25"/>
  <c r="W23" i="25"/>
  <c r="AI23" i="25"/>
  <c r="AU23" i="25"/>
  <c r="BG23" i="25"/>
  <c r="L23" i="25"/>
  <c r="X23" i="25"/>
  <c r="AJ23" i="25"/>
  <c r="AV23" i="25"/>
  <c r="BH23" i="25"/>
  <c r="M23" i="25"/>
  <c r="Y23" i="25"/>
  <c r="AK23" i="25"/>
  <c r="AW23" i="25"/>
  <c r="BI23" i="25"/>
  <c r="N23" i="25"/>
  <c r="Z23" i="25"/>
  <c r="AL23" i="25"/>
  <c r="AX23" i="25"/>
  <c r="BJ23" i="25"/>
  <c r="R23" i="25"/>
  <c r="AS23" i="25"/>
  <c r="D23" i="25"/>
  <c r="T23" i="25"/>
  <c r="AY23" i="25"/>
  <c r="U23" i="25"/>
  <c r="AZ23" i="25"/>
  <c r="F23" i="25"/>
  <c r="AA23" i="25"/>
  <c r="BB23" i="25"/>
  <c r="G23" i="25"/>
  <c r="AB23" i="25"/>
  <c r="BD23" i="25"/>
  <c r="H23" i="25"/>
  <c r="AD23" i="25"/>
  <c r="BE23" i="25"/>
  <c r="I23" i="25"/>
  <c r="AF23" i="25"/>
  <c r="J23" i="25"/>
  <c r="AG23" i="25"/>
  <c r="K23" i="25"/>
  <c r="AM23" i="25"/>
  <c r="AN23" i="25"/>
  <c r="O23" i="25"/>
  <c r="AP23" i="25"/>
  <c r="P23" i="25"/>
  <c r="AR23" i="25"/>
  <c r="C23" i="25"/>
  <c r="E23" i="25"/>
  <c r="L30" i="25"/>
  <c r="X30" i="25"/>
  <c r="AJ30" i="25"/>
  <c r="AV30" i="25"/>
  <c r="BH30" i="25"/>
  <c r="N30" i="25"/>
  <c r="Z30" i="25"/>
  <c r="AL30" i="25"/>
  <c r="AX30" i="25"/>
  <c r="BJ30" i="25"/>
  <c r="O30" i="25"/>
  <c r="AA30" i="25"/>
  <c r="AM30" i="25"/>
  <c r="AY30" i="25"/>
  <c r="P30" i="25"/>
  <c r="AB30" i="25"/>
  <c r="AN30" i="25"/>
  <c r="AZ30" i="25"/>
  <c r="Q30" i="25"/>
  <c r="AC30" i="25"/>
  <c r="AO30" i="25"/>
  <c r="BA30" i="25"/>
  <c r="R30" i="25"/>
  <c r="AD30" i="25"/>
  <c r="AP30" i="25"/>
  <c r="BB30" i="25"/>
  <c r="S30" i="25"/>
  <c r="AE30" i="25"/>
  <c r="AQ30" i="25"/>
  <c r="BC30" i="25"/>
  <c r="T30" i="25"/>
  <c r="AF30" i="25"/>
  <c r="AR30" i="25"/>
  <c r="BD30" i="25"/>
  <c r="AK30" i="25"/>
  <c r="I30" i="25"/>
  <c r="AS30" i="25"/>
  <c r="J30" i="25"/>
  <c r="AT30" i="25"/>
  <c r="K30" i="25"/>
  <c r="AU30" i="25"/>
  <c r="M30" i="25"/>
  <c r="AW30" i="25"/>
  <c r="U30" i="25"/>
  <c r="BE30" i="25"/>
  <c r="V30" i="25"/>
  <c r="BF30" i="25"/>
  <c r="C30" i="25"/>
  <c r="W30" i="25"/>
  <c r="BG30" i="25"/>
  <c r="D30" i="25"/>
  <c r="Y30" i="25"/>
  <c r="BI30" i="25"/>
  <c r="E30" i="25"/>
  <c r="H30" i="25"/>
  <c r="AG30" i="25"/>
  <c r="F30" i="25"/>
  <c r="AH30" i="25"/>
  <c r="G30" i="25"/>
  <c r="AI30" i="25"/>
  <c r="W21" i="25"/>
  <c r="AI21" i="25"/>
  <c r="AU21" i="25"/>
  <c r="BG21" i="25"/>
  <c r="M21" i="25"/>
  <c r="Y21" i="25"/>
  <c r="AK21" i="25"/>
  <c r="AW21" i="25"/>
  <c r="BI21" i="25"/>
  <c r="P21" i="25"/>
  <c r="AB21" i="25"/>
  <c r="AN21" i="25"/>
  <c r="AZ21" i="25"/>
  <c r="Q21" i="25"/>
  <c r="AC21" i="25"/>
  <c r="AO21" i="25"/>
  <c r="BA21" i="25"/>
  <c r="R21" i="25"/>
  <c r="AD21" i="25"/>
  <c r="AP21" i="25"/>
  <c r="BB21" i="25"/>
  <c r="S21" i="25"/>
  <c r="AE21" i="25"/>
  <c r="AQ21" i="25"/>
  <c r="BC21" i="25"/>
  <c r="T21" i="25"/>
  <c r="AF21" i="25"/>
  <c r="AR21" i="25"/>
  <c r="BD21" i="25"/>
  <c r="AH21" i="25"/>
  <c r="BJ21" i="25"/>
  <c r="J21" i="25"/>
  <c r="AJ21" i="25"/>
  <c r="AL21" i="25"/>
  <c r="L21" i="25"/>
  <c r="AM21" i="25"/>
  <c r="N21" i="25"/>
  <c r="AS21" i="25"/>
  <c r="O21" i="25"/>
  <c r="AT21" i="25"/>
  <c r="C21" i="25"/>
  <c r="U21" i="25"/>
  <c r="AV21" i="25"/>
  <c r="D21" i="25"/>
  <c r="V21" i="25"/>
  <c r="AX21" i="25"/>
  <c r="E21" i="25"/>
  <c r="X21" i="25"/>
  <c r="AY21" i="25"/>
  <c r="F21" i="25"/>
  <c r="Z21" i="25"/>
  <c r="BE21" i="25"/>
  <c r="AA21" i="25"/>
  <c r="BF21" i="25"/>
  <c r="G21" i="25"/>
  <c r="H21" i="25"/>
  <c r="I21" i="25"/>
  <c r="K21" i="25"/>
  <c r="AG21" i="25"/>
  <c r="BH21" i="25"/>
  <c r="M25" i="25"/>
  <c r="Y25" i="25"/>
  <c r="AK25" i="25"/>
  <c r="P25" i="25"/>
  <c r="AB25" i="25"/>
  <c r="AN25" i="25"/>
  <c r="Q25" i="25"/>
  <c r="AC25" i="25"/>
  <c r="AO25" i="25"/>
  <c r="R25" i="25"/>
  <c r="AD25" i="25"/>
  <c r="AP25" i="25"/>
  <c r="S25" i="25"/>
  <c r="AE25" i="25"/>
  <c r="AQ25" i="25"/>
  <c r="T25" i="25"/>
  <c r="AF25" i="25"/>
  <c r="AR25" i="25"/>
  <c r="BD25" i="25"/>
  <c r="AA25" i="25"/>
  <c r="AX25" i="25"/>
  <c r="J25" i="25"/>
  <c r="AG25" i="25"/>
  <c r="AY25" i="25"/>
  <c r="AH25" i="25"/>
  <c r="AZ25" i="25"/>
  <c r="AI25" i="25"/>
  <c r="BA25" i="25"/>
  <c r="L25" i="25"/>
  <c r="AJ25" i="25"/>
  <c r="BB25" i="25"/>
  <c r="N25" i="25"/>
  <c r="AL25" i="25"/>
  <c r="BC25" i="25"/>
  <c r="C25" i="25"/>
  <c r="O25" i="25"/>
  <c r="AM25" i="25"/>
  <c r="BE25" i="25"/>
  <c r="D25" i="25"/>
  <c r="U25" i="25"/>
  <c r="AS25" i="25"/>
  <c r="BF25" i="25"/>
  <c r="V25" i="25"/>
  <c r="AT25" i="25"/>
  <c r="BG25" i="25"/>
  <c r="F25" i="25"/>
  <c r="W25" i="25"/>
  <c r="AU25" i="25"/>
  <c r="BH25" i="25"/>
  <c r="X25" i="25"/>
  <c r="AV25" i="25"/>
  <c r="BI25" i="25"/>
  <c r="E25" i="25"/>
  <c r="G25" i="25"/>
  <c r="H25" i="25"/>
  <c r="Z25" i="25"/>
  <c r="I25" i="25"/>
  <c r="AW25" i="25"/>
  <c r="K25" i="25"/>
  <c r="BJ25" i="25"/>
  <c r="Q11" i="25"/>
  <c r="AC11" i="25"/>
  <c r="AO11" i="25"/>
  <c r="BA11" i="25"/>
  <c r="R11" i="25"/>
  <c r="AD11" i="25"/>
  <c r="AP11" i="25"/>
  <c r="BB11" i="25"/>
  <c r="S11" i="25"/>
  <c r="AE11" i="25"/>
  <c r="AQ11" i="25"/>
  <c r="BC11" i="25"/>
  <c r="V11" i="25"/>
  <c r="AH11" i="25"/>
  <c r="AT11" i="25"/>
  <c r="BF11" i="25"/>
  <c r="W11" i="25"/>
  <c r="AI11" i="25"/>
  <c r="AU11" i="25"/>
  <c r="BG11" i="25"/>
  <c r="L11" i="25"/>
  <c r="X11" i="25"/>
  <c r="AJ11" i="25"/>
  <c r="AV11" i="25"/>
  <c r="BH11" i="25"/>
  <c r="M11" i="25"/>
  <c r="Y11" i="25"/>
  <c r="AK11" i="25"/>
  <c r="AW11" i="25"/>
  <c r="BI11" i="25"/>
  <c r="N11" i="25"/>
  <c r="Z11" i="25"/>
  <c r="AL11" i="25"/>
  <c r="AX11" i="25"/>
  <c r="BJ11" i="25"/>
  <c r="AB11" i="25"/>
  <c r="D11" i="25"/>
  <c r="AF11" i="25"/>
  <c r="AG11" i="25"/>
  <c r="F11" i="25"/>
  <c r="AM11" i="25"/>
  <c r="G11" i="25"/>
  <c r="AN11" i="25"/>
  <c r="H11" i="25"/>
  <c r="AR11" i="25"/>
  <c r="I11" i="25"/>
  <c r="AS11" i="25"/>
  <c r="J11" i="25"/>
  <c r="O11" i="25"/>
  <c r="AY11" i="25"/>
  <c r="K11" i="25"/>
  <c r="P11" i="25"/>
  <c r="AZ11" i="25"/>
  <c r="T11" i="25"/>
  <c r="BD11" i="25"/>
  <c r="U11" i="25"/>
  <c r="BE11" i="25"/>
  <c r="AA11" i="25"/>
  <c r="C11" i="25"/>
  <c r="E11" i="25"/>
  <c r="W13" i="25"/>
  <c r="AI13" i="25"/>
  <c r="AU13" i="25"/>
  <c r="BG13" i="25"/>
  <c r="L13" i="25"/>
  <c r="X13" i="25"/>
  <c r="AJ13" i="25"/>
  <c r="AV13" i="25"/>
  <c r="BH13" i="25"/>
  <c r="M13" i="25"/>
  <c r="Y13" i="25"/>
  <c r="AK13" i="25"/>
  <c r="AW13" i="25"/>
  <c r="BI13" i="25"/>
  <c r="P13" i="25"/>
  <c r="AB13" i="25"/>
  <c r="AN13" i="25"/>
  <c r="AZ13" i="25"/>
  <c r="Q13" i="25"/>
  <c r="AC13" i="25"/>
  <c r="AO13" i="25"/>
  <c r="BA13" i="25"/>
  <c r="R13" i="25"/>
  <c r="AD13" i="25"/>
  <c r="AP13" i="25"/>
  <c r="BB13" i="25"/>
  <c r="S13" i="25"/>
  <c r="AE13" i="25"/>
  <c r="AQ13" i="25"/>
  <c r="BC13" i="25"/>
  <c r="T13" i="25"/>
  <c r="AF13" i="25"/>
  <c r="AR13" i="25"/>
  <c r="BD13" i="25"/>
  <c r="AH13" i="25"/>
  <c r="J13" i="25"/>
  <c r="AL13" i="25"/>
  <c r="AM13" i="25"/>
  <c r="AS13" i="25"/>
  <c r="AT13" i="25"/>
  <c r="N13" i="25"/>
  <c r="AX13" i="25"/>
  <c r="C13" i="25"/>
  <c r="O13" i="25"/>
  <c r="AY13" i="25"/>
  <c r="D13" i="25"/>
  <c r="U13" i="25"/>
  <c r="BE13" i="25"/>
  <c r="E13" i="25"/>
  <c r="V13" i="25"/>
  <c r="BF13" i="25"/>
  <c r="F13" i="25"/>
  <c r="Z13" i="25"/>
  <c r="BJ13" i="25"/>
  <c r="AA13" i="25"/>
  <c r="G13" i="25"/>
  <c r="H13" i="25"/>
  <c r="I13" i="25"/>
  <c r="K13" i="25"/>
  <c r="AG13" i="25"/>
  <c r="T6" i="25"/>
  <c r="AF6" i="25"/>
  <c r="AR6" i="25"/>
  <c r="BD6" i="25"/>
  <c r="U6" i="25"/>
  <c r="AG6" i="25"/>
  <c r="AS6" i="25"/>
  <c r="BE6" i="25"/>
  <c r="V6" i="25"/>
  <c r="AH6" i="25"/>
  <c r="AT6" i="25"/>
  <c r="BF6" i="25"/>
  <c r="L6" i="25"/>
  <c r="X6" i="25"/>
  <c r="AJ6" i="25"/>
  <c r="AV6" i="25"/>
  <c r="BH6" i="25"/>
  <c r="M6" i="25"/>
  <c r="Y6" i="25"/>
  <c r="AK6" i="25"/>
  <c r="AW6" i="25"/>
  <c r="BI6" i="25"/>
  <c r="N6" i="25"/>
  <c r="Z6" i="25"/>
  <c r="AL6" i="25"/>
  <c r="AX6" i="25"/>
  <c r="BJ6" i="25"/>
  <c r="O6" i="25"/>
  <c r="AA6" i="25"/>
  <c r="AM6" i="25"/>
  <c r="AY6" i="25"/>
  <c r="P6" i="25"/>
  <c r="AB6" i="25"/>
  <c r="AN6" i="25"/>
  <c r="AZ6" i="25"/>
  <c r="Q6" i="25"/>
  <c r="AC6" i="25"/>
  <c r="AO6" i="25"/>
  <c r="BA6" i="25"/>
  <c r="BG6" i="25"/>
  <c r="R6" i="25"/>
  <c r="S6" i="25"/>
  <c r="C6" i="25"/>
  <c r="W6" i="25"/>
  <c r="D6" i="25"/>
  <c r="AD6" i="25"/>
  <c r="E6" i="25"/>
  <c r="AE6" i="25"/>
  <c r="F6" i="25"/>
  <c r="AI6" i="25"/>
  <c r="G6" i="25"/>
  <c r="AP6" i="25"/>
  <c r="H6" i="25"/>
  <c r="AQ6" i="25"/>
  <c r="I6" i="25"/>
  <c r="AU6" i="25"/>
  <c r="BB6" i="25"/>
  <c r="BC6" i="25"/>
  <c r="J6" i="25"/>
  <c r="K6" i="25"/>
  <c r="N16" i="25"/>
  <c r="Z16" i="25"/>
  <c r="AL16" i="25"/>
  <c r="AX16" i="25"/>
  <c r="BJ16" i="25"/>
  <c r="O16" i="25"/>
  <c r="AA16" i="25"/>
  <c r="AM16" i="25"/>
  <c r="AY16" i="25"/>
  <c r="P16" i="25"/>
  <c r="AB16" i="25"/>
  <c r="AN16" i="25"/>
  <c r="AZ16" i="25"/>
  <c r="S16" i="25"/>
  <c r="AE16" i="25"/>
  <c r="AQ16" i="25"/>
  <c r="BC16" i="25"/>
  <c r="T16" i="25"/>
  <c r="AF16" i="25"/>
  <c r="AR16" i="25"/>
  <c r="BD16" i="25"/>
  <c r="U16" i="25"/>
  <c r="AG16" i="25"/>
  <c r="AS16" i="25"/>
  <c r="BE16" i="25"/>
  <c r="V16" i="25"/>
  <c r="AH16" i="25"/>
  <c r="AT16" i="25"/>
  <c r="BF16" i="25"/>
  <c r="W16" i="25"/>
  <c r="AI16" i="25"/>
  <c r="AU16" i="25"/>
  <c r="BG16" i="25"/>
  <c r="Y16" i="25"/>
  <c r="BI16" i="25"/>
  <c r="G16" i="25"/>
  <c r="AC16" i="25"/>
  <c r="AD16" i="25"/>
  <c r="I16" i="25"/>
  <c r="AJ16" i="25"/>
  <c r="J16" i="25"/>
  <c r="AK16" i="25"/>
  <c r="K16" i="25"/>
  <c r="AO16" i="25"/>
  <c r="AP16" i="25"/>
  <c r="L16" i="25"/>
  <c r="AV16" i="25"/>
  <c r="M16" i="25"/>
  <c r="AW16" i="25"/>
  <c r="C16" i="25"/>
  <c r="Q16" i="25"/>
  <c r="BA16" i="25"/>
  <c r="R16" i="25"/>
  <c r="BB16" i="25"/>
  <c r="H16" i="25"/>
  <c r="X16" i="25"/>
  <c r="BH16" i="25"/>
  <c r="D16" i="25"/>
  <c r="E16" i="25"/>
  <c r="F16" i="25"/>
  <c r="W9" i="25"/>
  <c r="AI9" i="25"/>
  <c r="AU9" i="25"/>
  <c r="BG9" i="25"/>
  <c r="L9" i="25"/>
  <c r="X9" i="25"/>
  <c r="AJ9" i="25"/>
  <c r="AV9" i="25"/>
  <c r="BH9" i="25"/>
  <c r="M9" i="25"/>
  <c r="Y9" i="25"/>
  <c r="AK9" i="25"/>
  <c r="AW9" i="25"/>
  <c r="BI9" i="25"/>
  <c r="O9" i="25"/>
  <c r="AA9" i="25"/>
  <c r="AM9" i="25"/>
  <c r="AY9" i="25"/>
  <c r="P9" i="25"/>
  <c r="AB9" i="25"/>
  <c r="AN9" i="25"/>
  <c r="AZ9" i="25"/>
  <c r="Q9" i="25"/>
  <c r="AC9" i="25"/>
  <c r="AO9" i="25"/>
  <c r="BA9" i="25"/>
  <c r="R9" i="25"/>
  <c r="AD9" i="25"/>
  <c r="AP9" i="25"/>
  <c r="BB9" i="25"/>
  <c r="S9" i="25"/>
  <c r="AE9" i="25"/>
  <c r="AQ9" i="25"/>
  <c r="BC9" i="25"/>
  <c r="T9" i="25"/>
  <c r="AF9" i="25"/>
  <c r="AR9" i="25"/>
  <c r="BD9" i="25"/>
  <c r="AX9" i="25"/>
  <c r="J9" i="25"/>
  <c r="BE9" i="25"/>
  <c r="BF9" i="25"/>
  <c r="N9" i="25"/>
  <c r="BJ9" i="25"/>
  <c r="U9" i="25"/>
  <c r="V9" i="25"/>
  <c r="C9" i="25"/>
  <c r="Z9" i="25"/>
  <c r="D9" i="25"/>
  <c r="AG9" i="25"/>
  <c r="E9" i="25"/>
  <c r="AH9" i="25"/>
  <c r="F9" i="25"/>
  <c r="AL9" i="25"/>
  <c r="AS9" i="25"/>
  <c r="G9" i="25"/>
  <c r="H9" i="25"/>
  <c r="I9" i="25"/>
  <c r="AT9" i="25"/>
  <c r="K9" i="25"/>
  <c r="Q19" i="25"/>
  <c r="AC19" i="25"/>
  <c r="AO19" i="25"/>
  <c r="BA19" i="25"/>
  <c r="R19" i="25"/>
  <c r="AD19" i="25"/>
  <c r="S19" i="25"/>
  <c r="AE19" i="25"/>
  <c r="AQ19" i="25"/>
  <c r="BC19" i="25"/>
  <c r="V19" i="25"/>
  <c r="AH19" i="25"/>
  <c r="AT19" i="25"/>
  <c r="BF19" i="25"/>
  <c r="W19" i="25"/>
  <c r="AI19" i="25"/>
  <c r="AU19" i="25"/>
  <c r="BG19" i="25"/>
  <c r="L19" i="25"/>
  <c r="X19" i="25"/>
  <c r="AJ19" i="25"/>
  <c r="AV19" i="25"/>
  <c r="BH19" i="25"/>
  <c r="M19" i="25"/>
  <c r="Y19" i="25"/>
  <c r="AK19" i="25"/>
  <c r="AW19" i="25"/>
  <c r="BI19" i="25"/>
  <c r="N19" i="25"/>
  <c r="Z19" i="25"/>
  <c r="AL19" i="25"/>
  <c r="AX19" i="25"/>
  <c r="BJ19" i="25"/>
  <c r="P19" i="25"/>
  <c r="AY19" i="25"/>
  <c r="D19" i="25"/>
  <c r="T19" i="25"/>
  <c r="AZ19" i="25"/>
  <c r="U19" i="25"/>
  <c r="BB19" i="25"/>
  <c r="F19" i="25"/>
  <c r="AA19" i="25"/>
  <c r="BD19" i="25"/>
  <c r="G19" i="25"/>
  <c r="AB19" i="25"/>
  <c r="BE19" i="25"/>
  <c r="H19" i="25"/>
  <c r="AF19" i="25"/>
  <c r="I19" i="25"/>
  <c r="AG19" i="25"/>
  <c r="J19" i="25"/>
  <c r="AM19" i="25"/>
  <c r="K19" i="25"/>
  <c r="AN19" i="25"/>
  <c r="AP19" i="25"/>
  <c r="AR19" i="25"/>
  <c r="O19" i="25"/>
  <c r="AS19" i="25"/>
  <c r="C19" i="25"/>
  <c r="E19" i="25"/>
  <c r="N24" i="25"/>
  <c r="Z24" i="25"/>
  <c r="AL24" i="25"/>
  <c r="AX24" i="25"/>
  <c r="BJ24" i="25"/>
  <c r="P24" i="25"/>
  <c r="AB24" i="25"/>
  <c r="AN24" i="25"/>
  <c r="AZ24" i="25"/>
  <c r="S24" i="25"/>
  <c r="AE24" i="25"/>
  <c r="AQ24" i="25"/>
  <c r="BC24" i="25"/>
  <c r="T24" i="25"/>
  <c r="AF24" i="25"/>
  <c r="AR24" i="25"/>
  <c r="BD24" i="25"/>
  <c r="U24" i="25"/>
  <c r="AG24" i="25"/>
  <c r="AS24" i="25"/>
  <c r="BE24" i="25"/>
  <c r="V24" i="25"/>
  <c r="AH24" i="25"/>
  <c r="AT24" i="25"/>
  <c r="BF24" i="25"/>
  <c r="W24" i="25"/>
  <c r="AI24" i="25"/>
  <c r="AU24" i="25"/>
  <c r="BG24" i="25"/>
  <c r="Y24" i="25"/>
  <c r="BA24" i="25"/>
  <c r="G24" i="25"/>
  <c r="AA24" i="25"/>
  <c r="BB24" i="25"/>
  <c r="AC24" i="25"/>
  <c r="BH24" i="25"/>
  <c r="I24" i="25"/>
  <c r="AD24" i="25"/>
  <c r="BI24" i="25"/>
  <c r="J24" i="25"/>
  <c r="AJ24" i="25"/>
  <c r="K24" i="25"/>
  <c r="AK24" i="25"/>
  <c r="L24" i="25"/>
  <c r="AM24" i="25"/>
  <c r="M24" i="25"/>
  <c r="AO24" i="25"/>
  <c r="O24" i="25"/>
  <c r="AP24" i="25"/>
  <c r="C24" i="25"/>
  <c r="Q24" i="25"/>
  <c r="AV24" i="25"/>
  <c r="R24" i="25"/>
  <c r="AW24" i="25"/>
  <c r="H24" i="25"/>
  <c r="X24" i="25"/>
  <c r="AY24" i="25"/>
  <c r="F24" i="25"/>
  <c r="D24" i="25"/>
  <c r="E24" i="25"/>
  <c r="T14" i="25"/>
  <c r="AF14" i="25"/>
  <c r="AR14" i="25"/>
  <c r="BD14" i="25"/>
  <c r="U14" i="25"/>
  <c r="AG14" i="25"/>
  <c r="AS14" i="25"/>
  <c r="BE14" i="25"/>
  <c r="V14" i="25"/>
  <c r="AH14" i="25"/>
  <c r="AT14" i="25"/>
  <c r="BF14" i="25"/>
  <c r="M14" i="25"/>
  <c r="Y14" i="25"/>
  <c r="AK14" i="25"/>
  <c r="AW14" i="25"/>
  <c r="BI14" i="25"/>
  <c r="N14" i="25"/>
  <c r="Z14" i="25"/>
  <c r="AL14" i="25"/>
  <c r="AX14" i="25"/>
  <c r="BJ14" i="25"/>
  <c r="O14" i="25"/>
  <c r="AA14" i="25"/>
  <c r="AM14" i="25"/>
  <c r="AY14" i="25"/>
  <c r="P14" i="25"/>
  <c r="AB14" i="25"/>
  <c r="AN14" i="25"/>
  <c r="AZ14" i="25"/>
  <c r="Q14" i="25"/>
  <c r="AC14" i="25"/>
  <c r="AO14" i="25"/>
  <c r="BA14" i="25"/>
  <c r="S14" i="25"/>
  <c r="BC14" i="25"/>
  <c r="W14" i="25"/>
  <c r="BG14" i="25"/>
  <c r="X14" i="25"/>
  <c r="BH14" i="25"/>
  <c r="C14" i="25"/>
  <c r="AD14" i="25"/>
  <c r="D14" i="25"/>
  <c r="AE14" i="25"/>
  <c r="E14" i="25"/>
  <c r="AI14" i="25"/>
  <c r="F14" i="25"/>
  <c r="AJ14" i="25"/>
  <c r="G14" i="25"/>
  <c r="AP14" i="25"/>
  <c r="H14" i="25"/>
  <c r="AQ14" i="25"/>
  <c r="I14" i="25"/>
  <c r="AU14" i="25"/>
  <c r="L14" i="25"/>
  <c r="AV14" i="25"/>
  <c r="J14" i="25"/>
  <c r="K14" i="25"/>
  <c r="R14" i="25"/>
  <c r="BB14" i="25"/>
  <c r="N8" i="25"/>
  <c r="Z8" i="25"/>
  <c r="AL8" i="25"/>
  <c r="AX8" i="25"/>
  <c r="BJ8" i="25"/>
  <c r="O8" i="25"/>
  <c r="AA8" i="25"/>
  <c r="AM8" i="25"/>
  <c r="AY8" i="25"/>
  <c r="P8" i="25"/>
  <c r="AB8" i="25"/>
  <c r="AN8" i="25"/>
  <c r="AZ8" i="25"/>
  <c r="R8" i="25"/>
  <c r="AD8" i="25"/>
  <c r="AP8" i="25"/>
  <c r="BB8" i="25"/>
  <c r="S8" i="25"/>
  <c r="AE8" i="25"/>
  <c r="AQ8" i="25"/>
  <c r="BC8" i="25"/>
  <c r="T8" i="25"/>
  <c r="AF8" i="25"/>
  <c r="AR8" i="25"/>
  <c r="BD8" i="25"/>
  <c r="U8" i="25"/>
  <c r="AG8" i="25"/>
  <c r="AS8" i="25"/>
  <c r="BE8" i="25"/>
  <c r="V8" i="25"/>
  <c r="AH8" i="25"/>
  <c r="AT8" i="25"/>
  <c r="BF8" i="25"/>
  <c r="W8" i="25"/>
  <c r="AI8" i="25"/>
  <c r="AU8" i="25"/>
  <c r="BG8" i="25"/>
  <c r="BA8" i="25"/>
  <c r="G8" i="25"/>
  <c r="L8" i="25"/>
  <c r="BH8" i="25"/>
  <c r="M8" i="25"/>
  <c r="BI8" i="25"/>
  <c r="I8" i="25"/>
  <c r="Q8" i="25"/>
  <c r="J8" i="25"/>
  <c r="X8" i="25"/>
  <c r="K8" i="25"/>
  <c r="Y8" i="25"/>
  <c r="AC8" i="25"/>
  <c r="AJ8" i="25"/>
  <c r="AK8" i="25"/>
  <c r="C8" i="25"/>
  <c r="AO8" i="25"/>
  <c r="AV8" i="25"/>
  <c r="H8" i="25"/>
  <c r="AW8" i="25"/>
  <c r="D8" i="25"/>
  <c r="E8" i="25"/>
  <c r="F8" i="25"/>
  <c r="O33" i="25"/>
  <c r="AA33" i="25"/>
  <c r="AM33" i="25"/>
  <c r="AY33" i="25"/>
  <c r="Q33" i="25"/>
  <c r="AC33" i="25"/>
  <c r="AO33" i="25"/>
  <c r="BA33" i="25"/>
  <c r="R33" i="25"/>
  <c r="AD33" i="25"/>
  <c r="AP33" i="25"/>
  <c r="BB33" i="25"/>
  <c r="S33" i="25"/>
  <c r="AE33" i="25"/>
  <c r="AQ33" i="25"/>
  <c r="BC33" i="25"/>
  <c r="T33" i="25"/>
  <c r="AF33" i="25"/>
  <c r="AR33" i="25"/>
  <c r="BD33" i="25"/>
  <c r="U33" i="25"/>
  <c r="AG33" i="25"/>
  <c r="AS33" i="25"/>
  <c r="BE33" i="25"/>
  <c r="V33" i="25"/>
  <c r="AH33" i="25"/>
  <c r="AT33" i="25"/>
  <c r="BF33" i="25"/>
  <c r="W33" i="25"/>
  <c r="AI33" i="25"/>
  <c r="AU33" i="25"/>
  <c r="BG33" i="25"/>
  <c r="AB33" i="25"/>
  <c r="F33" i="25"/>
  <c r="AJ33" i="25"/>
  <c r="G33" i="25"/>
  <c r="AK33" i="25"/>
  <c r="H33" i="25"/>
  <c r="AL33" i="25"/>
  <c r="I33" i="25"/>
  <c r="AN33" i="25"/>
  <c r="J33" i="25"/>
  <c r="L33" i="25"/>
  <c r="AV33" i="25"/>
  <c r="K33" i="25"/>
  <c r="M33" i="25"/>
  <c r="AW33" i="25"/>
  <c r="N33" i="25"/>
  <c r="AX33" i="25"/>
  <c r="P33" i="25"/>
  <c r="AZ33" i="25"/>
  <c r="X33" i="25"/>
  <c r="BH33" i="25"/>
  <c r="C33" i="25"/>
  <c r="E33" i="25"/>
  <c r="Y33" i="25"/>
  <c r="BI33" i="25"/>
  <c r="D33" i="25"/>
  <c r="Z33" i="25"/>
  <c r="BJ33" i="25"/>
  <c r="T10" i="25"/>
  <c r="AF10" i="25"/>
  <c r="AR10" i="25"/>
  <c r="BD10" i="25"/>
  <c r="U10" i="25"/>
  <c r="AG10" i="25"/>
  <c r="AS10" i="25"/>
  <c r="BE10" i="25"/>
  <c r="V10" i="25"/>
  <c r="AH10" i="25"/>
  <c r="AT10" i="25"/>
  <c r="BF10" i="25"/>
  <c r="L10" i="25"/>
  <c r="X10" i="25"/>
  <c r="M10" i="25"/>
  <c r="Y10" i="25"/>
  <c r="AK10" i="25"/>
  <c r="AW10" i="25"/>
  <c r="BI10" i="25"/>
  <c r="N10" i="25"/>
  <c r="Z10" i="25"/>
  <c r="AL10" i="25"/>
  <c r="AX10" i="25"/>
  <c r="BJ10" i="25"/>
  <c r="O10" i="25"/>
  <c r="AA10" i="25"/>
  <c r="AM10" i="25"/>
  <c r="AY10" i="25"/>
  <c r="P10" i="25"/>
  <c r="AB10" i="25"/>
  <c r="AN10" i="25"/>
  <c r="AZ10" i="25"/>
  <c r="Q10" i="25"/>
  <c r="AC10" i="25"/>
  <c r="AO10" i="25"/>
  <c r="BA10" i="25"/>
  <c r="AQ10" i="25"/>
  <c r="AU10" i="25"/>
  <c r="AV10" i="25"/>
  <c r="C10" i="25"/>
  <c r="BB10" i="25"/>
  <c r="D10" i="25"/>
  <c r="R10" i="25"/>
  <c r="BC10" i="25"/>
  <c r="E10" i="25"/>
  <c r="S10" i="25"/>
  <c r="BG10" i="25"/>
  <c r="F10" i="25"/>
  <c r="W10" i="25"/>
  <c r="BH10" i="25"/>
  <c r="G10" i="25"/>
  <c r="AD10" i="25"/>
  <c r="H10" i="25"/>
  <c r="AE10" i="25"/>
  <c r="I10" i="25"/>
  <c r="AI10" i="25"/>
  <c r="AJ10" i="25"/>
  <c r="AP10" i="25"/>
  <c r="J10" i="25"/>
  <c r="K10" i="25"/>
  <c r="M5" i="25"/>
  <c r="Y5" i="25"/>
  <c r="AK5" i="25"/>
  <c r="AW5" i="25"/>
  <c r="BI5" i="25"/>
  <c r="O5" i="25"/>
  <c r="AA5" i="25"/>
  <c r="AM5" i="25"/>
  <c r="AY5" i="25"/>
  <c r="P5" i="25"/>
  <c r="AB5" i="25"/>
  <c r="AN5" i="25"/>
  <c r="AZ5" i="25"/>
  <c r="Q5" i="25"/>
  <c r="AC5" i="25"/>
  <c r="AO5" i="25"/>
  <c r="BA5" i="25"/>
  <c r="R5" i="25"/>
  <c r="AD5" i="25"/>
  <c r="AP5" i="25"/>
  <c r="BB5" i="25"/>
  <c r="S5" i="25"/>
  <c r="AE5" i="25"/>
  <c r="AQ5" i="25"/>
  <c r="BC5" i="25"/>
  <c r="T5" i="25"/>
  <c r="AF5" i="25"/>
  <c r="AR5" i="25"/>
  <c r="BD5" i="25"/>
  <c r="U5" i="25"/>
  <c r="AG5" i="25"/>
  <c r="AS5" i="25"/>
  <c r="BE5" i="25"/>
  <c r="N5" i="25"/>
  <c r="AX5" i="25"/>
  <c r="J5" i="25"/>
  <c r="V5" i="25"/>
  <c r="BF5" i="25"/>
  <c r="K5" i="25"/>
  <c r="W5" i="25"/>
  <c r="BG5" i="25"/>
  <c r="L5" i="25"/>
  <c r="X5" i="25"/>
  <c r="BH5" i="25"/>
  <c r="C5" i="25"/>
  <c r="Z5" i="25"/>
  <c r="BJ5" i="25"/>
  <c r="AH5" i="25"/>
  <c r="AI5" i="25"/>
  <c r="D5" i="25"/>
  <c r="AJ5" i="25"/>
  <c r="E5" i="25"/>
  <c r="I5" i="25"/>
  <c r="AL5" i="25"/>
  <c r="F5" i="25"/>
  <c r="AT5" i="25"/>
  <c r="G5" i="25"/>
  <c r="AU5" i="25"/>
  <c r="H5" i="25"/>
  <c r="AV5" i="25"/>
  <c r="N12" i="25"/>
  <c r="Z12" i="25"/>
  <c r="AL12" i="25"/>
  <c r="AX12" i="25"/>
  <c r="BJ12" i="25"/>
  <c r="O12" i="25"/>
  <c r="AA12" i="25"/>
  <c r="AM12" i="25"/>
  <c r="AY12" i="25"/>
  <c r="P12" i="25"/>
  <c r="AB12" i="25"/>
  <c r="AN12" i="25"/>
  <c r="AZ12" i="25"/>
  <c r="S12" i="25"/>
  <c r="AE12" i="25"/>
  <c r="AQ12" i="25"/>
  <c r="BC12" i="25"/>
  <c r="T12" i="25"/>
  <c r="AF12" i="25"/>
  <c r="AR12" i="25"/>
  <c r="BD12" i="25"/>
  <c r="U12" i="25"/>
  <c r="AG12" i="25"/>
  <c r="AS12" i="25"/>
  <c r="BE12" i="25"/>
  <c r="V12" i="25"/>
  <c r="AH12" i="25"/>
  <c r="AT12" i="25"/>
  <c r="BF12" i="25"/>
  <c r="W12" i="25"/>
  <c r="AI12" i="25"/>
  <c r="AU12" i="25"/>
  <c r="BG12" i="25"/>
  <c r="M12" i="25"/>
  <c r="AW12" i="25"/>
  <c r="G12" i="25"/>
  <c r="Q12" i="25"/>
  <c r="BA12" i="25"/>
  <c r="R12" i="25"/>
  <c r="BB12" i="25"/>
  <c r="I12" i="25"/>
  <c r="X12" i="25"/>
  <c r="BH12" i="25"/>
  <c r="J12" i="25"/>
  <c r="Y12" i="25"/>
  <c r="BI12" i="25"/>
  <c r="K12" i="25"/>
  <c r="AC12" i="25"/>
  <c r="AD12" i="25"/>
  <c r="AJ12" i="25"/>
  <c r="AK12" i="25"/>
  <c r="C12" i="25"/>
  <c r="AO12" i="25"/>
  <c r="AP12" i="25"/>
  <c r="H12" i="25"/>
  <c r="L12" i="25"/>
  <c r="AV12" i="25"/>
  <c r="D12" i="25"/>
  <c r="E12" i="25"/>
  <c r="F12" i="25"/>
  <c r="T22" i="25"/>
  <c r="AF22" i="25"/>
  <c r="AR22" i="25"/>
  <c r="BD22" i="25"/>
  <c r="V22" i="25"/>
  <c r="AH22" i="25"/>
  <c r="AT22" i="25"/>
  <c r="BF22" i="25"/>
  <c r="M22" i="25"/>
  <c r="Y22" i="25"/>
  <c r="AK22" i="25"/>
  <c r="AW22" i="25"/>
  <c r="BI22" i="25"/>
  <c r="N22" i="25"/>
  <c r="Z22" i="25"/>
  <c r="AL22" i="25"/>
  <c r="AX22" i="25"/>
  <c r="BJ22" i="25"/>
  <c r="O22" i="25"/>
  <c r="AA22" i="25"/>
  <c r="AM22" i="25"/>
  <c r="AY22" i="25"/>
  <c r="P22" i="25"/>
  <c r="AB22" i="25"/>
  <c r="AN22" i="25"/>
  <c r="AZ22" i="25"/>
  <c r="Q22" i="25"/>
  <c r="AC22" i="25"/>
  <c r="AO22" i="25"/>
  <c r="BA22" i="25"/>
  <c r="AP22" i="25"/>
  <c r="L22" i="25"/>
  <c r="AQ22" i="25"/>
  <c r="R22" i="25"/>
  <c r="AS22" i="25"/>
  <c r="C22" i="25"/>
  <c r="S22" i="25"/>
  <c r="AU22" i="25"/>
  <c r="D22" i="25"/>
  <c r="U22" i="25"/>
  <c r="AV22" i="25"/>
  <c r="E22" i="25"/>
  <c r="W22" i="25"/>
  <c r="BB22" i="25"/>
  <c r="F22" i="25"/>
  <c r="X22" i="25"/>
  <c r="BC22" i="25"/>
  <c r="G22" i="25"/>
  <c r="AD22" i="25"/>
  <c r="BE22" i="25"/>
  <c r="H22" i="25"/>
  <c r="AE22" i="25"/>
  <c r="BG22" i="25"/>
  <c r="I22" i="25"/>
  <c r="AG22" i="25"/>
  <c r="BH22" i="25"/>
  <c r="AI22" i="25"/>
  <c r="J22" i="25"/>
  <c r="K22" i="25"/>
  <c r="AJ22" i="25"/>
  <c r="L26" i="25"/>
  <c r="X26" i="25"/>
  <c r="AJ26" i="25"/>
  <c r="AV26" i="25"/>
  <c r="BH26" i="25"/>
  <c r="M26" i="25"/>
  <c r="Y26" i="25"/>
  <c r="AK26" i="25"/>
  <c r="AW26" i="25"/>
  <c r="BI26" i="25"/>
  <c r="N26" i="25"/>
  <c r="Z26" i="25"/>
  <c r="AL26" i="25"/>
  <c r="AX26" i="25"/>
  <c r="BJ26" i="25"/>
  <c r="C26" i="25"/>
  <c r="O26" i="25"/>
  <c r="AA26" i="25"/>
  <c r="AM26" i="25"/>
  <c r="AY26" i="25"/>
  <c r="D26" i="25"/>
  <c r="P26" i="25"/>
  <c r="AB26" i="25"/>
  <c r="AN26" i="25"/>
  <c r="AZ26" i="25"/>
  <c r="E26" i="25"/>
  <c r="Q26" i="25"/>
  <c r="AC26" i="25"/>
  <c r="AO26" i="25"/>
  <c r="BA26" i="25"/>
  <c r="F26" i="25"/>
  <c r="R26" i="25"/>
  <c r="AD26" i="25"/>
  <c r="AP26" i="25"/>
  <c r="BB26" i="25"/>
  <c r="S26" i="25"/>
  <c r="AE26" i="25"/>
  <c r="AQ26" i="25"/>
  <c r="BC26" i="25"/>
  <c r="T26" i="25"/>
  <c r="AF26" i="25"/>
  <c r="AR26" i="25"/>
  <c r="BD26" i="25"/>
  <c r="I26" i="25"/>
  <c r="U26" i="25"/>
  <c r="AG26" i="25"/>
  <c r="AS26" i="25"/>
  <c r="BE26" i="25"/>
  <c r="V26" i="25"/>
  <c r="AH26" i="25"/>
  <c r="AT26" i="25"/>
  <c r="BF26" i="25"/>
  <c r="G26" i="25"/>
  <c r="W26" i="25"/>
  <c r="H26" i="25"/>
  <c r="AI26" i="25"/>
  <c r="J26" i="25"/>
  <c r="AU26" i="25"/>
  <c r="K26" i="25"/>
  <c r="BG26" i="25"/>
  <c r="R32" i="25"/>
  <c r="AD32" i="25"/>
  <c r="AP32" i="25"/>
  <c r="BB32" i="25"/>
  <c r="T32" i="25"/>
  <c r="AF32" i="25"/>
  <c r="AR32" i="25"/>
  <c r="BD32" i="25"/>
  <c r="U32" i="25"/>
  <c r="AG32" i="25"/>
  <c r="AS32" i="25"/>
  <c r="BE32" i="25"/>
  <c r="V32" i="25"/>
  <c r="AH32" i="25"/>
  <c r="AT32" i="25"/>
  <c r="BF32" i="25"/>
  <c r="W32" i="25"/>
  <c r="AI32" i="25"/>
  <c r="AU32" i="25"/>
  <c r="BG32" i="25"/>
  <c r="L32" i="25"/>
  <c r="X32" i="25"/>
  <c r="AJ32" i="25"/>
  <c r="AV32" i="25"/>
  <c r="BH32" i="25"/>
  <c r="M32" i="25"/>
  <c r="Y32" i="25"/>
  <c r="AK32" i="25"/>
  <c r="AW32" i="25"/>
  <c r="BI32" i="25"/>
  <c r="N32" i="25"/>
  <c r="Z32" i="25"/>
  <c r="AL32" i="25"/>
  <c r="AX32" i="25"/>
  <c r="BJ32" i="25"/>
  <c r="AQ32" i="25"/>
  <c r="C32" i="25"/>
  <c r="O32" i="25"/>
  <c r="AY32" i="25"/>
  <c r="D32" i="25"/>
  <c r="P32" i="25"/>
  <c r="AZ32" i="25"/>
  <c r="E32" i="25"/>
  <c r="Q32" i="25"/>
  <c r="BA32" i="25"/>
  <c r="F32" i="25"/>
  <c r="S32" i="25"/>
  <c r="BC32" i="25"/>
  <c r="G32" i="25"/>
  <c r="AA32" i="25"/>
  <c r="H32" i="25"/>
  <c r="AB32" i="25"/>
  <c r="I32" i="25"/>
  <c r="AC32" i="25"/>
  <c r="J32" i="25"/>
  <c r="AE32" i="25"/>
  <c r="K32" i="25"/>
  <c r="AM32" i="25"/>
  <c r="AN32" i="25"/>
  <c r="AO32" i="25"/>
  <c r="Q15" i="25"/>
  <c r="AC15" i="25"/>
  <c r="AO15" i="25"/>
  <c r="BA15" i="25"/>
  <c r="R15" i="25"/>
  <c r="AD15" i="25"/>
  <c r="AP15" i="25"/>
  <c r="BB15" i="25"/>
  <c r="S15" i="25"/>
  <c r="AE15" i="25"/>
  <c r="AQ15" i="25"/>
  <c r="BC15" i="25"/>
  <c r="V15" i="25"/>
  <c r="AH15" i="25"/>
  <c r="AT15" i="25"/>
  <c r="BF15" i="25"/>
  <c r="W15" i="25"/>
  <c r="AI15" i="25"/>
  <c r="AU15" i="25"/>
  <c r="BG15" i="25"/>
  <c r="L15" i="25"/>
  <c r="X15" i="25"/>
  <c r="AJ15" i="25"/>
  <c r="AV15" i="25"/>
  <c r="BH15" i="25"/>
  <c r="M15" i="25"/>
  <c r="Y15" i="25"/>
  <c r="AK15" i="25"/>
  <c r="AW15" i="25"/>
  <c r="BI15" i="25"/>
  <c r="N15" i="25"/>
  <c r="Z15" i="25"/>
  <c r="AL15" i="25"/>
  <c r="AX15" i="25"/>
  <c r="BJ15" i="25"/>
  <c r="AN15" i="25"/>
  <c r="D15" i="25"/>
  <c r="AR15" i="25"/>
  <c r="AS15" i="25"/>
  <c r="F15" i="25"/>
  <c r="O15" i="25"/>
  <c r="AY15" i="25"/>
  <c r="G15" i="25"/>
  <c r="P15" i="25"/>
  <c r="AZ15" i="25"/>
  <c r="H15" i="25"/>
  <c r="T15" i="25"/>
  <c r="BD15" i="25"/>
  <c r="I15" i="25"/>
  <c r="U15" i="25"/>
  <c r="BE15" i="25"/>
  <c r="J15" i="25"/>
  <c r="AA15" i="25"/>
  <c r="K15" i="25"/>
  <c r="AB15" i="25"/>
  <c r="AF15" i="25"/>
  <c r="AG15" i="25"/>
  <c r="AM15" i="25"/>
  <c r="C15" i="25"/>
  <c r="E15" i="25"/>
  <c r="U27" i="25"/>
  <c r="AG27" i="25"/>
  <c r="AS27" i="25"/>
  <c r="BE27" i="25"/>
  <c r="D27" i="25"/>
  <c r="V27" i="25"/>
  <c r="AH27" i="25"/>
  <c r="AT27" i="25"/>
  <c r="BF27" i="25"/>
  <c r="W27" i="25"/>
  <c r="AI27" i="25"/>
  <c r="AU27" i="25"/>
  <c r="BG27" i="25"/>
  <c r="F27" i="25"/>
  <c r="L27" i="25"/>
  <c r="X27" i="25"/>
  <c r="AJ27" i="25"/>
  <c r="AV27" i="25"/>
  <c r="BH27" i="25"/>
  <c r="G27" i="25"/>
  <c r="M27" i="25"/>
  <c r="Y27" i="25"/>
  <c r="AK27" i="25"/>
  <c r="AW27" i="25"/>
  <c r="BI27" i="25"/>
  <c r="H27" i="25"/>
  <c r="N27" i="25"/>
  <c r="Z27" i="25"/>
  <c r="AL27" i="25"/>
  <c r="AX27" i="25"/>
  <c r="BJ27" i="25"/>
  <c r="I27" i="25"/>
  <c r="O27" i="25"/>
  <c r="AA27" i="25"/>
  <c r="AM27" i="25"/>
  <c r="AY27" i="25"/>
  <c r="P27" i="25"/>
  <c r="AB27" i="25"/>
  <c r="AN27" i="25"/>
  <c r="AZ27" i="25"/>
  <c r="Q27" i="25"/>
  <c r="AC27" i="25"/>
  <c r="AO27" i="25"/>
  <c r="BA27" i="25"/>
  <c r="R27" i="25"/>
  <c r="AD27" i="25"/>
  <c r="AP27" i="25"/>
  <c r="BB27" i="25"/>
  <c r="S27" i="25"/>
  <c r="AE27" i="25"/>
  <c r="AQ27" i="25"/>
  <c r="BC27" i="25"/>
  <c r="AF27" i="25"/>
  <c r="J27" i="25"/>
  <c r="AR27" i="25"/>
  <c r="K27" i="25"/>
  <c r="BD27" i="25"/>
  <c r="C27" i="25"/>
  <c r="E27" i="25"/>
  <c r="T27" i="25"/>
  <c r="U31" i="25"/>
  <c r="AG31" i="25"/>
  <c r="AS31" i="25"/>
  <c r="BE31" i="25"/>
  <c r="W31" i="25"/>
  <c r="AI31" i="25"/>
  <c r="AU31" i="25"/>
  <c r="BG31" i="25"/>
  <c r="L31" i="25"/>
  <c r="X31" i="25"/>
  <c r="AJ31" i="25"/>
  <c r="AV31" i="25"/>
  <c r="BH31" i="25"/>
  <c r="M31" i="25"/>
  <c r="Y31" i="25"/>
  <c r="AK31" i="25"/>
  <c r="AW31" i="25"/>
  <c r="BI31" i="25"/>
  <c r="N31" i="25"/>
  <c r="Z31" i="25"/>
  <c r="AL31" i="25"/>
  <c r="AX31" i="25"/>
  <c r="BJ31" i="25"/>
  <c r="O31" i="25"/>
  <c r="AA31" i="25"/>
  <c r="AM31" i="25"/>
  <c r="AY31" i="25"/>
  <c r="P31" i="25"/>
  <c r="AB31" i="25"/>
  <c r="AN31" i="25"/>
  <c r="AZ31" i="25"/>
  <c r="Q31" i="25"/>
  <c r="AC31" i="25"/>
  <c r="AO31" i="25"/>
  <c r="BA31" i="25"/>
  <c r="V31" i="25"/>
  <c r="BF31" i="25"/>
  <c r="AD31" i="25"/>
  <c r="AE31" i="25"/>
  <c r="AF31" i="25"/>
  <c r="C31" i="25"/>
  <c r="AH31" i="25"/>
  <c r="D31" i="25"/>
  <c r="AP31" i="25"/>
  <c r="E31" i="25"/>
  <c r="AQ31" i="25"/>
  <c r="F31" i="25"/>
  <c r="K31" i="25"/>
  <c r="AR31" i="25"/>
  <c r="G31" i="25"/>
  <c r="AT31" i="25"/>
  <c r="H31" i="25"/>
  <c r="R31" i="25"/>
  <c r="BB31" i="25"/>
  <c r="I31" i="25"/>
  <c r="S31" i="25"/>
  <c r="BC31" i="25"/>
  <c r="J31" i="25"/>
  <c r="T31" i="25"/>
  <c r="BD31" i="25"/>
  <c r="R28" i="25"/>
  <c r="AD28" i="25"/>
  <c r="AP28" i="25"/>
  <c r="BB28" i="25"/>
  <c r="G28" i="25"/>
  <c r="S28" i="25"/>
  <c r="AE28" i="25"/>
  <c r="AQ28" i="25"/>
  <c r="T28" i="25"/>
  <c r="AF28" i="25"/>
  <c r="AR28" i="25"/>
  <c r="BD28" i="25"/>
  <c r="U28" i="25"/>
  <c r="AG28" i="25"/>
  <c r="AS28" i="25"/>
  <c r="BE28" i="25"/>
  <c r="V28" i="25"/>
  <c r="AH28" i="25"/>
  <c r="AT28" i="25"/>
  <c r="BF28" i="25"/>
  <c r="W28" i="25"/>
  <c r="AI28" i="25"/>
  <c r="AU28" i="25"/>
  <c r="BG28" i="25"/>
  <c r="L28" i="25"/>
  <c r="X28" i="25"/>
  <c r="AJ28" i="25"/>
  <c r="AV28" i="25"/>
  <c r="BH28" i="25"/>
  <c r="M28" i="25"/>
  <c r="Y28" i="25"/>
  <c r="AK28" i="25"/>
  <c r="AW28" i="25"/>
  <c r="BI28" i="25"/>
  <c r="N28" i="25"/>
  <c r="Z28" i="25"/>
  <c r="AL28" i="25"/>
  <c r="AX28" i="25"/>
  <c r="BJ28" i="25"/>
  <c r="C28" i="25"/>
  <c r="O28" i="25"/>
  <c r="AA28" i="25"/>
  <c r="AM28" i="25"/>
  <c r="AY28" i="25"/>
  <c r="P28" i="25"/>
  <c r="AB28" i="25"/>
  <c r="D28" i="25"/>
  <c r="Q28" i="25"/>
  <c r="E28" i="25"/>
  <c r="AC28" i="25"/>
  <c r="F28" i="25"/>
  <c r="AN28" i="25"/>
  <c r="H28" i="25"/>
  <c r="AO28" i="25"/>
  <c r="I28" i="25"/>
  <c r="AZ28" i="25"/>
  <c r="J28" i="25"/>
  <c r="BA28" i="25"/>
  <c r="K28" i="25"/>
  <c r="BC28" i="25"/>
  <c r="Q7" i="25"/>
  <c r="AC7" i="25"/>
  <c r="AO7" i="25"/>
  <c r="BA7" i="25"/>
  <c r="R7" i="25"/>
  <c r="AD7" i="25"/>
  <c r="AP7" i="25"/>
  <c r="BB7" i="25"/>
  <c r="S7" i="25"/>
  <c r="AE7" i="25"/>
  <c r="AQ7" i="25"/>
  <c r="BC7" i="25"/>
  <c r="U7" i="25"/>
  <c r="AG7" i="25"/>
  <c r="AS7" i="25"/>
  <c r="BE7" i="25"/>
  <c r="V7" i="25"/>
  <c r="AH7" i="25"/>
  <c r="AT7" i="25"/>
  <c r="BF7" i="25"/>
  <c r="W7" i="25"/>
  <c r="AI7" i="25"/>
  <c r="AU7" i="25"/>
  <c r="BG7" i="25"/>
  <c r="L7" i="25"/>
  <c r="X7" i="25"/>
  <c r="AJ7" i="25"/>
  <c r="AV7" i="25"/>
  <c r="BH7" i="25"/>
  <c r="M7" i="25"/>
  <c r="Y7" i="25"/>
  <c r="AK7" i="25"/>
  <c r="AW7" i="25"/>
  <c r="BI7" i="25"/>
  <c r="N7" i="25"/>
  <c r="Z7" i="25"/>
  <c r="AL7" i="25"/>
  <c r="AX7" i="25"/>
  <c r="BJ7" i="25"/>
  <c r="BD7" i="25"/>
  <c r="D7" i="25"/>
  <c r="O7" i="25"/>
  <c r="P7" i="25"/>
  <c r="F7" i="25"/>
  <c r="T7" i="25"/>
  <c r="G7" i="25"/>
  <c r="AA7" i="25"/>
  <c r="H7" i="25"/>
  <c r="AB7" i="25"/>
  <c r="I7" i="25"/>
  <c r="AF7" i="25"/>
  <c r="J7" i="25"/>
  <c r="AM7" i="25"/>
  <c r="K7" i="25"/>
  <c r="AN7" i="25"/>
  <c r="AR7" i="25"/>
  <c r="AY7" i="25"/>
  <c r="AZ7" i="25"/>
  <c r="C7" i="25"/>
  <c r="E7" i="25"/>
  <c r="W17" i="25"/>
  <c r="AI17" i="25"/>
  <c r="AU17" i="25"/>
  <c r="BG17" i="25"/>
  <c r="L17" i="25"/>
  <c r="X17" i="25"/>
  <c r="AJ17" i="25"/>
  <c r="AV17" i="25"/>
  <c r="BH17" i="25"/>
  <c r="M17" i="25"/>
  <c r="Y17" i="25"/>
  <c r="AK17" i="25"/>
  <c r="AW17" i="25"/>
  <c r="BI17" i="25"/>
  <c r="P17" i="25"/>
  <c r="AB17" i="25"/>
  <c r="AN17" i="25"/>
  <c r="AZ17" i="25"/>
  <c r="Q17" i="25"/>
  <c r="AC17" i="25"/>
  <c r="AO17" i="25"/>
  <c r="BA17" i="25"/>
  <c r="R17" i="25"/>
  <c r="AD17" i="25"/>
  <c r="AP17" i="25"/>
  <c r="BB17" i="25"/>
  <c r="S17" i="25"/>
  <c r="AE17" i="25"/>
  <c r="AQ17" i="25"/>
  <c r="BC17" i="25"/>
  <c r="T17" i="25"/>
  <c r="AF17" i="25"/>
  <c r="AR17" i="25"/>
  <c r="BD17" i="25"/>
  <c r="AT17" i="25"/>
  <c r="J17" i="25"/>
  <c r="N17" i="25"/>
  <c r="AX17" i="25"/>
  <c r="O17" i="25"/>
  <c r="AY17" i="25"/>
  <c r="U17" i="25"/>
  <c r="BE17" i="25"/>
  <c r="V17" i="25"/>
  <c r="BF17" i="25"/>
  <c r="Z17" i="25"/>
  <c r="BJ17" i="25"/>
  <c r="C17" i="25"/>
  <c r="AA17" i="25"/>
  <c r="D17" i="25"/>
  <c r="AG17" i="25"/>
  <c r="E17" i="25"/>
  <c r="AH17" i="25"/>
  <c r="F17" i="25"/>
  <c r="AL17" i="25"/>
  <c r="AM17" i="25"/>
  <c r="G17" i="25"/>
  <c r="H17" i="25"/>
  <c r="AS17" i="25"/>
  <c r="I17" i="25"/>
  <c r="K17" i="25"/>
  <c r="N20" i="25"/>
  <c r="Z20" i="25"/>
  <c r="AL20" i="25"/>
  <c r="AX20" i="25"/>
  <c r="BJ20" i="25"/>
  <c r="P20" i="25"/>
  <c r="AB20" i="25"/>
  <c r="AN20" i="25"/>
  <c r="AZ20" i="25"/>
  <c r="S20" i="25"/>
  <c r="AE20" i="25"/>
  <c r="AQ20" i="25"/>
  <c r="BC20" i="25"/>
  <c r="T20" i="25"/>
  <c r="AF20" i="25"/>
  <c r="AR20" i="25"/>
  <c r="BD20" i="25"/>
  <c r="U20" i="25"/>
  <c r="AG20" i="25"/>
  <c r="AS20" i="25"/>
  <c r="BE20" i="25"/>
  <c r="V20" i="25"/>
  <c r="AH20" i="25"/>
  <c r="AT20" i="25"/>
  <c r="BF20" i="25"/>
  <c r="W20" i="25"/>
  <c r="AI20" i="25"/>
  <c r="AU20" i="25"/>
  <c r="BG20" i="25"/>
  <c r="AA20" i="25"/>
  <c r="BB20" i="25"/>
  <c r="G20" i="25"/>
  <c r="AC20" i="25"/>
  <c r="BH20" i="25"/>
  <c r="AD20" i="25"/>
  <c r="BI20" i="25"/>
  <c r="I20" i="25"/>
  <c r="AJ20" i="25"/>
  <c r="J20" i="25"/>
  <c r="AK20" i="25"/>
  <c r="K20" i="25"/>
  <c r="L20" i="25"/>
  <c r="AM20" i="25"/>
  <c r="M20" i="25"/>
  <c r="AO20" i="25"/>
  <c r="O20" i="25"/>
  <c r="AP20" i="25"/>
  <c r="Q20" i="25"/>
  <c r="AV20" i="25"/>
  <c r="C20" i="25"/>
  <c r="R20" i="25"/>
  <c r="AW20" i="25"/>
  <c r="X20" i="25"/>
  <c r="AY20" i="25"/>
  <c r="H20" i="25"/>
  <c r="Y20" i="25"/>
  <c r="BA20" i="25"/>
  <c r="D20" i="25"/>
  <c r="E20" i="25"/>
  <c r="F20" i="25"/>
  <c r="O29" i="25"/>
  <c r="AA29" i="25"/>
  <c r="AM29" i="25"/>
  <c r="AY29" i="25"/>
  <c r="Q29" i="25"/>
  <c r="AC29" i="25"/>
  <c r="AO29" i="25"/>
  <c r="BA29" i="25"/>
  <c r="R29" i="25"/>
  <c r="AD29" i="25"/>
  <c r="AP29" i="25"/>
  <c r="BB29" i="25"/>
  <c r="S29" i="25"/>
  <c r="AE29" i="25"/>
  <c r="AQ29" i="25"/>
  <c r="BC29" i="25"/>
  <c r="T29" i="25"/>
  <c r="AF29" i="25"/>
  <c r="AR29" i="25"/>
  <c r="BD29" i="25"/>
  <c r="U29" i="25"/>
  <c r="AG29" i="25"/>
  <c r="AS29" i="25"/>
  <c r="BE29" i="25"/>
  <c r="V29" i="25"/>
  <c r="AH29" i="25"/>
  <c r="AT29" i="25"/>
  <c r="BF29" i="25"/>
  <c r="W29" i="25"/>
  <c r="AI29" i="25"/>
  <c r="AU29" i="25"/>
  <c r="BG29" i="25"/>
  <c r="L29" i="25"/>
  <c r="P29" i="25"/>
  <c r="AZ29" i="25"/>
  <c r="F29" i="25"/>
  <c r="X29" i="25"/>
  <c r="BH29" i="25"/>
  <c r="G29" i="25"/>
  <c r="Y29" i="25"/>
  <c r="BI29" i="25"/>
  <c r="H29" i="25"/>
  <c r="Z29" i="25"/>
  <c r="BJ29" i="25"/>
  <c r="I29" i="25"/>
  <c r="AB29" i="25"/>
  <c r="J29" i="25"/>
  <c r="AJ29" i="25"/>
  <c r="K29" i="25"/>
  <c r="AK29" i="25"/>
  <c r="AL29" i="25"/>
  <c r="AN29" i="25"/>
  <c r="AV29" i="25"/>
  <c r="C29" i="25"/>
  <c r="M29" i="25"/>
  <c r="AW29" i="25"/>
  <c r="D29" i="25"/>
  <c r="N29" i="25"/>
  <c r="AX29" i="25"/>
  <c r="E29" i="25"/>
  <c r="C6" i="7" l="1"/>
  <c r="I33" i="21"/>
  <c r="F33" i="21"/>
  <c r="P35" i="25" l="1"/>
  <c r="BM19" i="25"/>
  <c r="AL35" i="25"/>
  <c r="AV35" i="25"/>
  <c r="BM22" i="25"/>
  <c r="BM27" i="25"/>
  <c r="BM32" i="25"/>
  <c r="BM30" i="25"/>
  <c r="U35" i="25"/>
  <c r="AW35" i="25"/>
  <c r="V35" i="25"/>
  <c r="BM5" i="25"/>
  <c r="C35" i="25"/>
  <c r="BM16" i="25"/>
  <c r="BM11" i="25"/>
  <c r="BM10" i="25"/>
  <c r="BM17" i="25"/>
  <c r="AF35" i="25"/>
  <c r="E35" i="25"/>
  <c r="BB35" i="25"/>
  <c r="AK35" i="25"/>
  <c r="I35" i="25"/>
  <c r="J35" i="25"/>
  <c r="BM25" i="25"/>
  <c r="Y35" i="25"/>
  <c r="BM24" i="25"/>
  <c r="G35" i="25"/>
  <c r="O35" i="25"/>
  <c r="BA35" i="25"/>
  <c r="Z35" i="25"/>
  <c r="AC35" i="25"/>
  <c r="AD35" i="25"/>
  <c r="AE35" i="25"/>
  <c r="D35" i="25"/>
  <c r="AO35" i="25"/>
  <c r="AP35" i="25"/>
  <c r="BM31" i="25"/>
  <c r="AU35" i="25"/>
  <c r="BE35" i="25"/>
  <c r="BM26" i="25"/>
  <c r="BM23" i="25"/>
  <c r="BM28" i="25"/>
  <c r="L35" i="25"/>
  <c r="H35" i="25"/>
  <c r="BJ35" i="25"/>
  <c r="AJ35" i="25"/>
  <c r="AA35" i="25"/>
  <c r="X35" i="25"/>
  <c r="BM7" i="25"/>
  <c r="BM13" i="25"/>
  <c r="BM12" i="25"/>
  <c r="M35" i="25"/>
  <c r="BI35" i="25"/>
  <c r="AZ35" i="25"/>
  <c r="AN35" i="25"/>
  <c r="BM33" i="25"/>
  <c r="BM8" i="25"/>
  <c r="N35" i="25"/>
  <c r="T35" i="25"/>
  <c r="AB35" i="25"/>
  <c r="AR35" i="25"/>
  <c r="BH35" i="25"/>
  <c r="BD35" i="25"/>
  <c r="BM21" i="25"/>
  <c r="BM18" i="25"/>
  <c r="AT35" i="25"/>
  <c r="BF35" i="25"/>
  <c r="BM6" i="25"/>
  <c r="S35" i="25"/>
  <c r="K35" i="25"/>
  <c r="BG35" i="25"/>
  <c r="AS35" i="25"/>
  <c r="AI35" i="25"/>
  <c r="BM9" i="25"/>
  <c r="BM15" i="25"/>
  <c r="BM20" i="25"/>
  <c r="R35" i="25"/>
  <c r="W35" i="25"/>
  <c r="AH35" i="25"/>
  <c r="AY35" i="25"/>
  <c r="AM35" i="25"/>
  <c r="AX35" i="25"/>
  <c r="BC35" i="25"/>
  <c r="BM14" i="25"/>
  <c r="Q35" i="25"/>
  <c r="AG35" i="25"/>
  <c r="AQ35" i="25"/>
  <c r="F35" i="25"/>
  <c r="BM29" i="25"/>
  <c r="F61" i="31" l="1"/>
  <c r="H61" i="31" s="1"/>
  <c r="F60" i="31"/>
  <c r="H60" i="31" s="1"/>
  <c r="E60" i="31"/>
  <c r="G60" i="31" s="1"/>
  <c r="I60" i="31" s="1"/>
  <c r="F59" i="31"/>
  <c r="F58" i="31"/>
  <c r="F57" i="31"/>
  <c r="F56" i="31"/>
  <c r="F55" i="31"/>
  <c r="F54" i="31"/>
  <c r="F53" i="31"/>
  <c r="I52" i="31"/>
  <c r="F52" i="31"/>
  <c r="I51" i="31"/>
  <c r="F51" i="31"/>
  <c r="F50" i="31"/>
  <c r="F49" i="31"/>
  <c r="F48" i="31"/>
  <c r="F47" i="31"/>
  <c r="H47" i="31" s="1"/>
  <c r="I46" i="31"/>
  <c r="F46" i="31"/>
  <c r="I45" i="31"/>
  <c r="F45" i="31"/>
  <c r="I44" i="31"/>
  <c r="F44" i="31"/>
  <c r="I43" i="31"/>
  <c r="F43" i="31"/>
  <c r="I42" i="31"/>
  <c r="F42" i="31"/>
  <c r="I41" i="31"/>
  <c r="F41" i="31"/>
  <c r="I40" i="31"/>
  <c r="F40" i="31"/>
  <c r="I39" i="31"/>
  <c r="F39" i="31"/>
  <c r="F38" i="31"/>
  <c r="I37" i="31"/>
  <c r="F37" i="31"/>
  <c r="I36" i="31"/>
  <c r="F36" i="31"/>
  <c r="F35" i="31"/>
  <c r="F34" i="31"/>
  <c r="F33" i="31"/>
  <c r="F32" i="31"/>
  <c r="I31" i="31"/>
  <c r="F31" i="31"/>
  <c r="I30" i="31"/>
  <c r="F30" i="31"/>
  <c r="I29" i="31"/>
  <c r="F29" i="31"/>
  <c r="I28" i="31"/>
  <c r="F28" i="31"/>
  <c r="I27" i="31"/>
  <c r="F27" i="31"/>
  <c r="I26" i="31"/>
  <c r="F26" i="31"/>
  <c r="I25" i="31"/>
  <c r="F25" i="31"/>
  <c r="I24" i="31"/>
  <c r="F24" i="31"/>
  <c r="I23" i="31"/>
  <c r="G23" i="31"/>
  <c r="F23" i="31"/>
  <c r="H23" i="31" s="1"/>
  <c r="I22" i="31"/>
  <c r="F22" i="31"/>
  <c r="I21" i="31"/>
  <c r="F21" i="31"/>
  <c r="I20" i="31"/>
  <c r="F20" i="31"/>
  <c r="I19" i="31"/>
  <c r="F19" i="31"/>
  <c r="I18" i="31"/>
  <c r="F18" i="31"/>
  <c r="I17" i="31"/>
  <c r="F17" i="31"/>
  <c r="I16" i="31"/>
  <c r="G16" i="31"/>
  <c r="F16" i="31"/>
  <c r="H16" i="31" s="1"/>
  <c r="I15" i="31"/>
  <c r="F15" i="31"/>
  <c r="I14" i="31"/>
  <c r="F14" i="31"/>
  <c r="I13" i="31"/>
  <c r="F13" i="31"/>
  <c r="G12" i="31"/>
  <c r="I12" i="31" s="1"/>
  <c r="F12" i="31"/>
  <c r="H12" i="31" s="1"/>
  <c r="H11" i="31"/>
  <c r="G11" i="31"/>
  <c r="I11" i="31" s="1"/>
  <c r="F11" i="31"/>
  <c r="I10" i="31"/>
  <c r="F10" i="31"/>
  <c r="I9" i="31"/>
  <c r="F9" i="31"/>
  <c r="H8" i="31"/>
  <c r="G8" i="31"/>
  <c r="I8" i="31" s="1"/>
  <c r="F8" i="31"/>
  <c r="G7" i="31"/>
  <c r="I7" i="31" s="1"/>
  <c r="F7" i="31"/>
  <c r="H7" i="31" s="1"/>
  <c r="I6" i="31"/>
  <c r="F6" i="31"/>
  <c r="I5" i="31"/>
  <c r="F5" i="31"/>
  <c r="G4" i="31"/>
  <c r="I4" i="31" s="1"/>
  <c r="F4" i="31"/>
  <c r="H4" i="31" s="1"/>
  <c r="H3" i="31"/>
  <c r="G3" i="31"/>
  <c r="I3" i="31" s="1"/>
  <c r="F3" i="31"/>
  <c r="A3" i="31" a="1"/>
  <c r="G61" i="31" s="1"/>
  <c r="I61" i="31" s="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4" i="21"/>
  <c r="F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4" i="21"/>
  <c r="G32" i="31" l="1"/>
  <c r="I32" i="31" s="1"/>
  <c r="G33" i="31"/>
  <c r="I33" i="31" s="1"/>
  <c r="G53" i="31"/>
  <c r="I53" i="31" s="1"/>
  <c r="G59" i="31"/>
  <c r="I59" i="31" s="1"/>
  <c r="G57" i="31"/>
  <c r="I57" i="31" s="1"/>
  <c r="A3" i="31"/>
  <c r="G48" i="31"/>
  <c r="I48" i="31" s="1"/>
  <c r="G54" i="31"/>
  <c r="I54" i="31" s="1"/>
  <c r="G34" i="31"/>
  <c r="I34" i="31" s="1"/>
  <c r="G49" i="31"/>
  <c r="I49" i="31" s="1"/>
  <c r="G55" i="31"/>
  <c r="I55" i="31" s="1"/>
  <c r="G58" i="31"/>
  <c r="I58" i="31" s="1"/>
  <c r="G50" i="31"/>
  <c r="I50" i="31" s="1"/>
  <c r="G56" i="31"/>
  <c r="I56" i="31" s="1"/>
  <c r="G47" i="31"/>
  <c r="I47" i="31" s="1"/>
  <c r="G35" i="31"/>
  <c r="I35" i="31" s="1"/>
  <c r="AG2" i="4" l="1" a="1"/>
  <c r="AG2" i="4" s="1"/>
  <c r="AF61" i="4" a="1"/>
  <c r="AF61" i="4" s="1"/>
  <c r="AE3" i="4" a="1"/>
  <c r="AE3" i="4" s="1"/>
  <c r="AE4" i="4" a="1"/>
  <c r="AE4" i="4" s="1"/>
  <c r="AE5" i="4" a="1"/>
  <c r="AE5" i="4" s="1"/>
  <c r="AE6" i="4" a="1"/>
  <c r="AE6" i="4" s="1"/>
  <c r="AE7" i="4" a="1"/>
  <c r="AE7" i="4" s="1"/>
  <c r="AE8" i="4" a="1"/>
  <c r="AE8" i="4" s="1"/>
  <c r="AE9" i="4" a="1"/>
  <c r="AE9" i="4" s="1"/>
  <c r="AE10" i="4" a="1"/>
  <c r="AE10" i="4" s="1"/>
  <c r="AE11" i="4" a="1"/>
  <c r="AE11" i="4" s="1"/>
  <c r="AE12" i="4" a="1"/>
  <c r="AE12" i="4" s="1"/>
  <c r="AE13" i="4" a="1"/>
  <c r="AE13" i="4" s="1"/>
  <c r="AE14" i="4" a="1"/>
  <c r="AE14" i="4" s="1"/>
  <c r="AE15" i="4" a="1"/>
  <c r="AE15" i="4" s="1"/>
  <c r="AE16" i="4" a="1"/>
  <c r="AE16" i="4" s="1"/>
  <c r="AE17" i="4" a="1"/>
  <c r="AE17" i="4" s="1"/>
  <c r="AE18" i="4" a="1"/>
  <c r="AE18" i="4" s="1"/>
  <c r="AE19" i="4" a="1"/>
  <c r="AE19" i="4" s="1"/>
  <c r="AE20" i="4" a="1"/>
  <c r="AE20" i="4" s="1"/>
  <c r="AE21" i="4" a="1"/>
  <c r="AE21" i="4" s="1"/>
  <c r="AE22" i="4" a="1"/>
  <c r="AE22" i="4" s="1"/>
  <c r="AE23" i="4" a="1"/>
  <c r="AE23" i="4" s="1"/>
  <c r="AE24" i="4" a="1"/>
  <c r="AE24" i="4" s="1"/>
  <c r="AE25" i="4" a="1"/>
  <c r="AE25" i="4" s="1"/>
  <c r="AE26" i="4" a="1"/>
  <c r="AE26" i="4" s="1"/>
  <c r="AE27" i="4" a="1"/>
  <c r="AE27" i="4" s="1"/>
  <c r="AE28" i="4" a="1"/>
  <c r="AE28" i="4" s="1"/>
  <c r="AE29" i="4" a="1"/>
  <c r="AE29" i="4" s="1"/>
  <c r="AE30" i="4" a="1"/>
  <c r="AE30" i="4" s="1"/>
  <c r="AE31" i="4" a="1"/>
  <c r="AE31" i="4" s="1"/>
  <c r="AE32" i="4" a="1"/>
  <c r="AE32" i="4" s="1"/>
  <c r="AE33" i="4" a="1"/>
  <c r="AE33" i="4" s="1"/>
  <c r="AE34" i="4" a="1"/>
  <c r="AE34" i="4" s="1"/>
  <c r="AE35" i="4" a="1"/>
  <c r="AE35" i="4" s="1"/>
  <c r="AE36" i="4" a="1"/>
  <c r="AE36" i="4" s="1"/>
  <c r="AE37" i="4" a="1"/>
  <c r="AE37" i="4" s="1"/>
  <c r="AE38" i="4" a="1"/>
  <c r="AE38" i="4" s="1"/>
  <c r="AE39" i="4" a="1"/>
  <c r="AE39" i="4" s="1"/>
  <c r="AE40" i="4" a="1"/>
  <c r="AE40" i="4" s="1"/>
  <c r="AE41" i="4" a="1"/>
  <c r="AE41" i="4" s="1"/>
  <c r="AE42" i="4" a="1"/>
  <c r="AE42" i="4" s="1"/>
  <c r="AE43" i="4" a="1"/>
  <c r="AE43" i="4" s="1"/>
  <c r="AE44" i="4" a="1"/>
  <c r="AE44" i="4" s="1"/>
  <c r="AE45" i="4" a="1"/>
  <c r="AE45" i="4" s="1"/>
  <c r="AE46" i="4" a="1"/>
  <c r="AE46" i="4" s="1"/>
  <c r="AE47" i="4" a="1"/>
  <c r="AE47" i="4" s="1"/>
  <c r="AE48" i="4" a="1"/>
  <c r="AE48" i="4" s="1"/>
  <c r="AE49" i="4" a="1"/>
  <c r="AE49" i="4" s="1"/>
  <c r="AE50" i="4" a="1"/>
  <c r="AE50" i="4" s="1"/>
  <c r="AE51" i="4" a="1"/>
  <c r="AE51" i="4" s="1"/>
  <c r="AE52" i="4" a="1"/>
  <c r="AE52" i="4" s="1"/>
  <c r="AE53" i="4" a="1"/>
  <c r="AE53" i="4" s="1"/>
  <c r="AE54" i="4" a="1"/>
  <c r="AE54" i="4" s="1"/>
  <c r="AE55" i="4" a="1"/>
  <c r="AE55" i="4" s="1"/>
  <c r="AE56" i="4" a="1"/>
  <c r="AE56" i="4" s="1"/>
  <c r="AE57" i="4" a="1"/>
  <c r="AE57" i="4" s="1"/>
  <c r="AE58" i="4" a="1"/>
  <c r="AE58" i="4" s="1"/>
  <c r="AE59" i="4" a="1"/>
  <c r="AE59" i="4" s="1"/>
  <c r="AE60" i="4" a="1"/>
  <c r="AE60" i="4" s="1"/>
  <c r="AE61" i="4" a="1"/>
  <c r="AE61" i="4" s="1"/>
  <c r="AE2" i="4" a="1"/>
  <c r="AE2" i="4" s="1"/>
  <c r="C2" i="7" l="1"/>
  <c r="U2" i="4" l="1"/>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2"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J3" i="5"/>
  <c r="Q3" i="5"/>
  <c r="S3" i="4" l="1"/>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2" i="4"/>
  <c r="R3" i="4"/>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2" i="4"/>
  <c r="J4" i="5" l="1"/>
  <c r="K4" i="5"/>
  <c r="L4" i="5"/>
  <c r="J5" i="5"/>
  <c r="K5" i="5"/>
  <c r="L5" i="5"/>
  <c r="J6" i="5"/>
  <c r="K6" i="5"/>
  <c r="L6" i="5"/>
  <c r="J7" i="5"/>
  <c r="K7" i="5"/>
  <c r="L7" i="5"/>
  <c r="J8" i="5"/>
  <c r="K8" i="5"/>
  <c r="L8" i="5"/>
  <c r="J9" i="5"/>
  <c r="K9" i="5"/>
  <c r="L9" i="5"/>
  <c r="J10" i="5"/>
  <c r="K10" i="5"/>
  <c r="L10" i="5"/>
  <c r="J11" i="5"/>
  <c r="K11" i="5"/>
  <c r="L11" i="5"/>
  <c r="J12" i="5"/>
  <c r="K12" i="5"/>
  <c r="L12" i="5"/>
  <c r="J14" i="5"/>
  <c r="K14" i="5"/>
  <c r="L14" i="5"/>
  <c r="J15" i="5"/>
  <c r="K15" i="5"/>
  <c r="L15" i="5"/>
  <c r="J16" i="5"/>
  <c r="K16" i="5"/>
  <c r="L16" i="5"/>
  <c r="J17" i="5"/>
  <c r="K17" i="5"/>
  <c r="L17" i="5"/>
  <c r="J18" i="5"/>
  <c r="K18" i="5"/>
  <c r="L18" i="5"/>
  <c r="J19" i="5"/>
  <c r="K19" i="5"/>
  <c r="L19" i="5"/>
  <c r="J20" i="5"/>
  <c r="K20" i="5"/>
  <c r="L20" i="5"/>
  <c r="J21" i="5"/>
  <c r="K21" i="5"/>
  <c r="L21" i="5"/>
  <c r="J22" i="5"/>
  <c r="K22" i="5"/>
  <c r="L22" i="5"/>
  <c r="J23" i="5"/>
  <c r="K23" i="5"/>
  <c r="L23" i="5"/>
  <c r="J24" i="5"/>
  <c r="K24" i="5"/>
  <c r="L24" i="5"/>
  <c r="J25" i="5"/>
  <c r="K25" i="5"/>
  <c r="L25" i="5"/>
  <c r="J27" i="5"/>
  <c r="K27" i="5"/>
  <c r="L27" i="5"/>
  <c r="J28" i="5"/>
  <c r="K28" i="5"/>
  <c r="L28" i="5"/>
  <c r="J29" i="5"/>
  <c r="K29" i="5"/>
  <c r="L29" i="5"/>
  <c r="J30" i="5"/>
  <c r="K30" i="5"/>
  <c r="L30" i="5"/>
  <c r="J31" i="5"/>
  <c r="K31" i="5"/>
  <c r="L31" i="5"/>
  <c r="J32" i="5"/>
  <c r="K32" i="5"/>
  <c r="L32" i="5"/>
  <c r="J33" i="5"/>
  <c r="K33" i="5"/>
  <c r="L33" i="5"/>
  <c r="J34" i="5"/>
  <c r="K34" i="5"/>
  <c r="L34" i="5"/>
  <c r="J35" i="5"/>
  <c r="K35" i="5"/>
  <c r="L35" i="5"/>
  <c r="J36" i="5"/>
  <c r="K36" i="5"/>
  <c r="L36" i="5"/>
  <c r="J37" i="5"/>
  <c r="K37" i="5"/>
  <c r="L37" i="5"/>
  <c r="J38" i="5"/>
  <c r="K38" i="5"/>
  <c r="L38" i="5"/>
  <c r="J39" i="5"/>
  <c r="K39" i="5"/>
  <c r="L39" i="5"/>
  <c r="J40" i="5"/>
  <c r="K40" i="5"/>
  <c r="L40" i="5"/>
  <c r="J41" i="5"/>
  <c r="K41" i="5"/>
  <c r="L41" i="5"/>
  <c r="J42" i="5"/>
  <c r="K42" i="5"/>
  <c r="L42" i="5"/>
  <c r="J43" i="5"/>
  <c r="K43" i="5"/>
  <c r="L43" i="5"/>
  <c r="J44" i="5"/>
  <c r="K44" i="5"/>
  <c r="L44" i="5"/>
  <c r="J45" i="5"/>
  <c r="K45" i="5"/>
  <c r="L45" i="5"/>
  <c r="J47" i="5"/>
  <c r="K47" i="5"/>
  <c r="L47" i="5"/>
  <c r="J48" i="5"/>
  <c r="K48" i="5"/>
  <c r="L48" i="5"/>
  <c r="J49" i="5"/>
  <c r="K49" i="5"/>
  <c r="L49" i="5"/>
  <c r="J50" i="5"/>
  <c r="K50" i="5"/>
  <c r="L50" i="5"/>
  <c r="J51" i="5"/>
  <c r="K51" i="5"/>
  <c r="L51" i="5"/>
  <c r="J52" i="5"/>
  <c r="K52" i="5"/>
  <c r="L52" i="5"/>
  <c r="J53" i="5"/>
  <c r="K53" i="5"/>
  <c r="L53" i="5"/>
  <c r="J54" i="5"/>
  <c r="K54" i="5"/>
  <c r="L54" i="5"/>
  <c r="J55" i="5"/>
  <c r="K55" i="5"/>
  <c r="L55" i="5"/>
  <c r="J56" i="5"/>
  <c r="K56" i="5"/>
  <c r="L56" i="5"/>
  <c r="J57" i="5"/>
  <c r="K57" i="5"/>
  <c r="L57" i="5"/>
  <c r="J58" i="5"/>
  <c r="K58" i="5"/>
  <c r="L58" i="5"/>
  <c r="J59" i="5"/>
  <c r="K59" i="5"/>
  <c r="L59" i="5"/>
  <c r="J60" i="5"/>
  <c r="K60" i="5"/>
  <c r="L60" i="5"/>
  <c r="J61" i="5"/>
  <c r="K61" i="5"/>
  <c r="L61" i="5"/>
  <c r="J62" i="5"/>
  <c r="K62" i="5"/>
  <c r="L62" i="5"/>
  <c r="J64" i="5"/>
  <c r="K64" i="5"/>
  <c r="L64" i="5"/>
  <c r="J65" i="5"/>
  <c r="K65" i="5"/>
  <c r="L65" i="5"/>
  <c r="J66" i="5"/>
  <c r="K66" i="5"/>
  <c r="L66" i="5"/>
  <c r="I6" i="5"/>
  <c r="I7" i="5"/>
  <c r="I8" i="5"/>
  <c r="I9" i="5"/>
  <c r="I10" i="5"/>
  <c r="I11" i="5"/>
  <c r="I12" i="5"/>
  <c r="I14" i="5"/>
  <c r="I15" i="5"/>
  <c r="I16" i="5"/>
  <c r="I17" i="5"/>
  <c r="I18" i="5"/>
  <c r="I19" i="5"/>
  <c r="I20" i="5"/>
  <c r="I21" i="5"/>
  <c r="I22" i="5"/>
  <c r="I23" i="5"/>
  <c r="I24" i="5"/>
  <c r="I25" i="5"/>
  <c r="I27" i="5"/>
  <c r="I28" i="5"/>
  <c r="I29" i="5"/>
  <c r="I30" i="5"/>
  <c r="I31" i="5"/>
  <c r="I32" i="5"/>
  <c r="I33" i="5"/>
  <c r="I34" i="5"/>
  <c r="I35" i="5"/>
  <c r="I36" i="5"/>
  <c r="I37" i="5"/>
  <c r="I38" i="5"/>
  <c r="I39" i="5"/>
  <c r="I40" i="5"/>
  <c r="I41" i="5"/>
  <c r="I42" i="5"/>
  <c r="I43" i="5"/>
  <c r="I44" i="5"/>
  <c r="I45" i="5"/>
  <c r="I47" i="5"/>
  <c r="I48" i="5"/>
  <c r="I49" i="5"/>
  <c r="I50" i="5"/>
  <c r="I51" i="5"/>
  <c r="I52" i="5"/>
  <c r="I53" i="5"/>
  <c r="I54" i="5"/>
  <c r="I55" i="5"/>
  <c r="I56" i="5"/>
  <c r="I57" i="5"/>
  <c r="I58" i="5"/>
  <c r="I59" i="5"/>
  <c r="I60" i="5"/>
  <c r="I61" i="5"/>
  <c r="I62" i="5"/>
  <c r="I64" i="5"/>
  <c r="I65" i="5"/>
  <c r="I66" i="5"/>
  <c r="I4" i="5"/>
  <c r="I5" i="5"/>
  <c r="K3" i="5"/>
  <c r="L3" i="5"/>
  <c r="I3" i="5"/>
  <c r="H3" i="5"/>
  <c r="P3" i="5"/>
  <c r="R3" i="5"/>
  <c r="P4" i="5"/>
  <c r="Q4" i="5"/>
  <c r="R4" i="5"/>
  <c r="P5" i="5"/>
  <c r="Q5" i="5"/>
  <c r="R5" i="5"/>
  <c r="P6" i="5"/>
  <c r="Q6" i="5"/>
  <c r="R6" i="5"/>
  <c r="P7" i="5"/>
  <c r="Q7" i="5"/>
  <c r="R7" i="5"/>
  <c r="P8" i="5"/>
  <c r="Q8" i="5"/>
  <c r="R8" i="5"/>
  <c r="P9" i="5"/>
  <c r="Q9" i="5"/>
  <c r="R9" i="5"/>
  <c r="P10" i="5"/>
  <c r="Q10" i="5"/>
  <c r="R10" i="5"/>
  <c r="P11" i="5"/>
  <c r="Q11" i="5"/>
  <c r="R11" i="5"/>
  <c r="P12" i="5"/>
  <c r="Q12" i="5"/>
  <c r="R12" i="5"/>
  <c r="P14" i="5"/>
  <c r="Q14" i="5"/>
  <c r="R14" i="5"/>
  <c r="P15" i="5"/>
  <c r="Q15" i="5"/>
  <c r="R15" i="5"/>
  <c r="P16" i="5"/>
  <c r="Q16" i="5"/>
  <c r="R16" i="5"/>
  <c r="P17" i="5"/>
  <c r="Q17" i="5"/>
  <c r="R17" i="5"/>
  <c r="P18" i="5"/>
  <c r="Q18" i="5"/>
  <c r="R18" i="5"/>
  <c r="P19" i="5"/>
  <c r="Q19" i="5"/>
  <c r="R19" i="5"/>
  <c r="P20" i="5"/>
  <c r="Q20" i="5"/>
  <c r="R20" i="5"/>
  <c r="P21" i="5"/>
  <c r="Q21" i="5"/>
  <c r="R21" i="5"/>
  <c r="P22" i="5"/>
  <c r="Q22" i="5"/>
  <c r="R22" i="5"/>
  <c r="P23" i="5"/>
  <c r="Q23" i="5"/>
  <c r="R23" i="5"/>
  <c r="P24" i="5"/>
  <c r="Q24" i="5"/>
  <c r="R24" i="5"/>
  <c r="P25" i="5"/>
  <c r="Q25" i="5"/>
  <c r="R25" i="5"/>
  <c r="P27" i="5"/>
  <c r="Q27" i="5"/>
  <c r="R27" i="5"/>
  <c r="P28" i="5"/>
  <c r="Q28" i="5"/>
  <c r="R28" i="5"/>
  <c r="P29" i="5"/>
  <c r="Q29" i="5"/>
  <c r="R29" i="5"/>
  <c r="P30" i="5"/>
  <c r="Q30" i="5"/>
  <c r="R30" i="5"/>
  <c r="P31" i="5"/>
  <c r="Q31" i="5"/>
  <c r="R31" i="5"/>
  <c r="P32" i="5"/>
  <c r="Q32" i="5"/>
  <c r="R32" i="5"/>
  <c r="P33" i="5"/>
  <c r="Q33" i="5"/>
  <c r="R33" i="5"/>
  <c r="P34" i="5"/>
  <c r="Q34" i="5"/>
  <c r="R34" i="5"/>
  <c r="P35" i="5"/>
  <c r="Q35" i="5"/>
  <c r="R35" i="5"/>
  <c r="P36" i="5"/>
  <c r="Q36" i="5"/>
  <c r="R36" i="5"/>
  <c r="P37" i="5"/>
  <c r="Q37" i="5"/>
  <c r="R37" i="5"/>
  <c r="P38" i="5"/>
  <c r="Q38" i="5"/>
  <c r="R38" i="5"/>
  <c r="P39" i="5"/>
  <c r="Q39" i="5"/>
  <c r="R39" i="5"/>
  <c r="P40" i="5"/>
  <c r="Q40" i="5"/>
  <c r="R40" i="5"/>
  <c r="P41" i="5"/>
  <c r="Q41" i="5"/>
  <c r="R41" i="5"/>
  <c r="P42" i="5"/>
  <c r="Q42" i="5"/>
  <c r="R42" i="5"/>
  <c r="P43" i="5"/>
  <c r="Q43" i="5"/>
  <c r="R43" i="5"/>
  <c r="P44" i="5"/>
  <c r="Q44" i="5"/>
  <c r="R44" i="5"/>
  <c r="P45" i="5"/>
  <c r="Q45" i="5"/>
  <c r="R45" i="5"/>
  <c r="P47" i="5"/>
  <c r="Q47" i="5"/>
  <c r="R47" i="5"/>
  <c r="P48" i="5"/>
  <c r="Q48" i="5"/>
  <c r="R48" i="5"/>
  <c r="P49" i="5"/>
  <c r="Q49" i="5"/>
  <c r="R49" i="5"/>
  <c r="P50" i="5"/>
  <c r="Q50" i="5"/>
  <c r="R50" i="5"/>
  <c r="P51" i="5"/>
  <c r="Q51" i="5"/>
  <c r="R51" i="5"/>
  <c r="P52" i="5"/>
  <c r="Q52" i="5"/>
  <c r="R52" i="5"/>
  <c r="P53" i="5"/>
  <c r="Q53" i="5"/>
  <c r="R53" i="5"/>
  <c r="P54" i="5"/>
  <c r="Q54" i="5"/>
  <c r="R54" i="5"/>
  <c r="P55" i="5"/>
  <c r="Q55" i="5"/>
  <c r="R55" i="5"/>
  <c r="P56" i="5"/>
  <c r="Q56" i="5"/>
  <c r="R56" i="5"/>
  <c r="P57" i="5"/>
  <c r="Q57" i="5"/>
  <c r="R57" i="5"/>
  <c r="P58" i="5"/>
  <c r="Q58" i="5"/>
  <c r="R58" i="5"/>
  <c r="P59" i="5"/>
  <c r="Q59" i="5"/>
  <c r="R59" i="5"/>
  <c r="P60" i="5"/>
  <c r="Q60" i="5"/>
  <c r="R60" i="5"/>
  <c r="P61" i="5"/>
  <c r="Q61" i="5"/>
  <c r="R61" i="5"/>
  <c r="P62" i="5"/>
  <c r="Q62" i="5"/>
  <c r="R62" i="5"/>
  <c r="P64" i="5"/>
  <c r="Q64" i="5"/>
  <c r="R64" i="5"/>
  <c r="P65" i="5"/>
  <c r="Q65" i="5"/>
  <c r="R65" i="5"/>
  <c r="P66" i="5"/>
  <c r="Q66" i="5"/>
  <c r="R66" i="5"/>
  <c r="O10" i="5"/>
  <c r="O11" i="5"/>
  <c r="O12" i="5"/>
  <c r="O14" i="5"/>
  <c r="O15" i="5"/>
  <c r="O16" i="5"/>
  <c r="O17" i="5"/>
  <c r="O18" i="5"/>
  <c r="O19" i="5"/>
  <c r="O20" i="5"/>
  <c r="O21" i="5"/>
  <c r="O22" i="5"/>
  <c r="O23" i="5"/>
  <c r="O24" i="5"/>
  <c r="O25" i="5"/>
  <c r="O27" i="5"/>
  <c r="O28" i="5"/>
  <c r="O29" i="5"/>
  <c r="O30" i="5"/>
  <c r="O31" i="5"/>
  <c r="O32" i="5"/>
  <c r="O33" i="5"/>
  <c r="O34" i="5"/>
  <c r="O35" i="5"/>
  <c r="O36" i="5"/>
  <c r="O37" i="5"/>
  <c r="O38" i="5"/>
  <c r="O39" i="5"/>
  <c r="O40" i="5"/>
  <c r="O41" i="5"/>
  <c r="O42" i="5"/>
  <c r="O43" i="5"/>
  <c r="O44" i="5"/>
  <c r="O45" i="5"/>
  <c r="O47" i="5"/>
  <c r="O48" i="5"/>
  <c r="O49" i="5"/>
  <c r="O50" i="5"/>
  <c r="O51" i="5"/>
  <c r="O52" i="5"/>
  <c r="O53" i="5"/>
  <c r="O54" i="5"/>
  <c r="O55" i="5"/>
  <c r="O56" i="5"/>
  <c r="O57" i="5"/>
  <c r="O58" i="5"/>
  <c r="O59" i="5"/>
  <c r="O60" i="5"/>
  <c r="O61" i="5"/>
  <c r="O62" i="5"/>
  <c r="O64" i="5"/>
  <c r="O65" i="5"/>
  <c r="O66" i="5"/>
  <c r="O6" i="5"/>
  <c r="O7" i="5"/>
  <c r="O8" i="5"/>
  <c r="O9" i="5"/>
  <c r="O4" i="5"/>
  <c r="O5" i="5"/>
  <c r="O3" i="5"/>
  <c r="N14" i="5"/>
  <c r="N15" i="5"/>
  <c r="N16" i="5"/>
  <c r="N17" i="5"/>
  <c r="N18" i="5"/>
  <c r="N19" i="5"/>
  <c r="N20" i="5"/>
  <c r="N21" i="5"/>
  <c r="N22" i="5"/>
  <c r="N23" i="5"/>
  <c r="N24" i="5"/>
  <c r="N25" i="5"/>
  <c r="N27" i="5"/>
  <c r="N28" i="5"/>
  <c r="N29" i="5"/>
  <c r="N30" i="5"/>
  <c r="N31" i="5"/>
  <c r="N32" i="5"/>
  <c r="N33" i="5"/>
  <c r="N34" i="5"/>
  <c r="N35" i="5"/>
  <c r="N36" i="5"/>
  <c r="N37" i="5"/>
  <c r="N38" i="5"/>
  <c r="N39" i="5"/>
  <c r="N40" i="5"/>
  <c r="N41" i="5"/>
  <c r="N42" i="5"/>
  <c r="N43" i="5"/>
  <c r="N44" i="5"/>
  <c r="N45" i="5"/>
  <c r="N47" i="5"/>
  <c r="N48" i="5"/>
  <c r="N49" i="5"/>
  <c r="N50" i="5"/>
  <c r="N51" i="5"/>
  <c r="N52" i="5"/>
  <c r="N53" i="5"/>
  <c r="N54" i="5"/>
  <c r="N55" i="5"/>
  <c r="N56" i="5"/>
  <c r="N57" i="5"/>
  <c r="N58" i="5"/>
  <c r="N59" i="5"/>
  <c r="N60" i="5"/>
  <c r="N61" i="5"/>
  <c r="N62" i="5"/>
  <c r="N64" i="5"/>
  <c r="N65" i="5"/>
  <c r="N66" i="5"/>
  <c r="N4" i="5"/>
  <c r="N5" i="5"/>
  <c r="N6" i="5"/>
  <c r="N7" i="5"/>
  <c r="N8" i="5"/>
  <c r="N9" i="5"/>
  <c r="N10" i="5"/>
  <c r="N11" i="5"/>
  <c r="N12" i="5"/>
  <c r="N3" i="5"/>
  <c r="M2" i="4" l="1" a="1"/>
  <c r="M2" i="4" s="1"/>
  <c r="N2" i="4" s="1" a="1"/>
  <c r="N2" i="4" s="1"/>
  <c r="N6" i="4" l="1" a="1"/>
  <c r="N6" i="4" s="1"/>
  <c r="N5" i="4" a="1"/>
  <c r="N5" i="4" s="1"/>
  <c r="N4" i="4" a="1"/>
  <c r="N4" i="4" s="1"/>
  <c r="N3" i="4" a="1"/>
  <c r="N3" i="4" s="1"/>
  <c r="I3" i="4" l="1"/>
  <c r="J3" i="4"/>
  <c r="K3" i="4"/>
  <c r="I4" i="4"/>
  <c r="J4" i="4"/>
  <c r="K4" i="4"/>
  <c r="I5" i="4"/>
  <c r="J5" i="4"/>
  <c r="K5" i="4"/>
  <c r="I6" i="4"/>
  <c r="J6" i="4"/>
  <c r="K6" i="4"/>
  <c r="I7" i="4"/>
  <c r="J7" i="4"/>
  <c r="K7" i="4"/>
  <c r="I8" i="4"/>
  <c r="J8" i="4"/>
  <c r="K8" i="4"/>
  <c r="I9" i="4"/>
  <c r="J9" i="4"/>
  <c r="K9" i="4"/>
  <c r="I10" i="4"/>
  <c r="J10" i="4"/>
  <c r="K10" i="4"/>
  <c r="I11" i="4"/>
  <c r="J11" i="4"/>
  <c r="K11" i="4"/>
  <c r="I12" i="4"/>
  <c r="J12" i="4"/>
  <c r="K12" i="4"/>
  <c r="I13" i="4"/>
  <c r="J13" i="4"/>
  <c r="K13" i="4"/>
  <c r="I14" i="4"/>
  <c r="J14" i="4"/>
  <c r="K14" i="4"/>
  <c r="I15" i="4"/>
  <c r="J15" i="4"/>
  <c r="K15" i="4"/>
  <c r="I16" i="4"/>
  <c r="J16" i="4"/>
  <c r="K16" i="4"/>
  <c r="I17" i="4"/>
  <c r="J17" i="4"/>
  <c r="K17" i="4"/>
  <c r="I18" i="4"/>
  <c r="J18" i="4"/>
  <c r="K18" i="4"/>
  <c r="I19" i="4"/>
  <c r="J19" i="4"/>
  <c r="K19" i="4"/>
  <c r="I20" i="4"/>
  <c r="J20" i="4"/>
  <c r="K20" i="4"/>
  <c r="I21" i="4"/>
  <c r="J21" i="4"/>
  <c r="K21" i="4"/>
  <c r="I22" i="4"/>
  <c r="J22" i="4"/>
  <c r="K22" i="4"/>
  <c r="I23" i="4"/>
  <c r="J23" i="4"/>
  <c r="K23" i="4"/>
  <c r="I24" i="4"/>
  <c r="J24" i="4"/>
  <c r="K24" i="4"/>
  <c r="I25" i="4"/>
  <c r="J25" i="4"/>
  <c r="K25" i="4"/>
  <c r="I26" i="4"/>
  <c r="J26" i="4"/>
  <c r="K26" i="4"/>
  <c r="I27" i="4"/>
  <c r="J27" i="4"/>
  <c r="K27" i="4"/>
  <c r="I28" i="4"/>
  <c r="J28" i="4"/>
  <c r="K28" i="4"/>
  <c r="I29" i="4"/>
  <c r="J29" i="4"/>
  <c r="K29" i="4"/>
  <c r="I30" i="4"/>
  <c r="J30" i="4"/>
  <c r="K30" i="4"/>
  <c r="I31" i="4"/>
  <c r="J31" i="4"/>
  <c r="K31" i="4"/>
  <c r="I32" i="4"/>
  <c r="J32" i="4"/>
  <c r="K32" i="4"/>
  <c r="I33" i="4"/>
  <c r="J33" i="4"/>
  <c r="K33" i="4"/>
  <c r="I34" i="4"/>
  <c r="J34" i="4"/>
  <c r="K34" i="4"/>
  <c r="I35" i="4"/>
  <c r="J35" i="4"/>
  <c r="K35" i="4"/>
  <c r="I36" i="4"/>
  <c r="J36" i="4"/>
  <c r="K36" i="4"/>
  <c r="I37" i="4"/>
  <c r="J37" i="4"/>
  <c r="K37" i="4"/>
  <c r="I38" i="4"/>
  <c r="J38" i="4"/>
  <c r="K38" i="4"/>
  <c r="I39" i="4"/>
  <c r="J39" i="4"/>
  <c r="K39" i="4"/>
  <c r="I40" i="4"/>
  <c r="J40" i="4"/>
  <c r="K40" i="4"/>
  <c r="I41" i="4"/>
  <c r="J41" i="4"/>
  <c r="K41" i="4"/>
  <c r="I42" i="4"/>
  <c r="J42" i="4"/>
  <c r="K42" i="4"/>
  <c r="I43" i="4"/>
  <c r="J43" i="4"/>
  <c r="K43" i="4"/>
  <c r="I44" i="4"/>
  <c r="J44" i="4"/>
  <c r="K44" i="4"/>
  <c r="I45" i="4"/>
  <c r="J45" i="4"/>
  <c r="K45" i="4"/>
  <c r="I46" i="4"/>
  <c r="J46" i="4"/>
  <c r="K46" i="4"/>
  <c r="I47" i="4"/>
  <c r="J47" i="4"/>
  <c r="K47" i="4"/>
  <c r="I48" i="4"/>
  <c r="J48" i="4"/>
  <c r="K48" i="4"/>
  <c r="I49" i="4"/>
  <c r="J49" i="4"/>
  <c r="K49" i="4"/>
  <c r="I50" i="4"/>
  <c r="J50" i="4"/>
  <c r="K50" i="4"/>
  <c r="I51" i="4"/>
  <c r="J51" i="4"/>
  <c r="K51" i="4"/>
  <c r="I52" i="4"/>
  <c r="J52" i="4"/>
  <c r="K52" i="4"/>
  <c r="I53" i="4"/>
  <c r="J53" i="4"/>
  <c r="K53" i="4"/>
  <c r="I54" i="4"/>
  <c r="J54" i="4"/>
  <c r="K54" i="4"/>
  <c r="I55" i="4"/>
  <c r="J55" i="4"/>
  <c r="K55" i="4"/>
  <c r="I56" i="4"/>
  <c r="J56" i="4"/>
  <c r="K56" i="4"/>
  <c r="I57" i="4"/>
  <c r="J57" i="4"/>
  <c r="K57" i="4"/>
  <c r="I58" i="4"/>
  <c r="J58" i="4"/>
  <c r="K58" i="4"/>
  <c r="I59" i="4"/>
  <c r="J59" i="4"/>
  <c r="K59" i="4"/>
  <c r="I60" i="4"/>
  <c r="J60" i="4"/>
  <c r="K60" i="4"/>
  <c r="I61" i="4"/>
  <c r="J61" i="4"/>
  <c r="K61" i="4"/>
  <c r="J2" i="4"/>
  <c r="K2" i="4"/>
  <c r="I2" i="4"/>
  <c r="O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3" i="17"/>
  <c r="F31" i="16"/>
  <c r="F32" i="16"/>
  <c r="F33" i="16"/>
  <c r="F34" i="16"/>
  <c r="F35" i="16"/>
  <c r="F36" i="16"/>
  <c r="F37" i="16"/>
  <c r="F38" i="16"/>
  <c r="F39" i="16"/>
  <c r="F40" i="16"/>
  <c r="F41" i="16"/>
  <c r="F42" i="16"/>
  <c r="F43" i="16"/>
  <c r="F44"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 i="16"/>
  <c r="G11" i="7" l="1"/>
  <c r="G7" i="7"/>
  <c r="G8" i="7"/>
  <c r="G9" i="7"/>
  <c r="G10" i="7"/>
  <c r="G6" i="7"/>
  <c r="F6" i="7"/>
  <c r="F11" i="7"/>
  <c r="E11" i="7"/>
  <c r="D11" i="7"/>
  <c r="C11" i="7"/>
  <c r="C10" i="7"/>
  <c r="Y4" i="6"/>
  <c r="Y5" i="6"/>
  <c r="Y6" i="6"/>
  <c r="Y7" i="6"/>
  <c r="Y8" i="6"/>
  <c r="Y9" i="6"/>
  <c r="Y10" i="6"/>
  <c r="Y11" i="6"/>
  <c r="Y12" i="6"/>
  <c r="Y14" i="6"/>
  <c r="Y15" i="6"/>
  <c r="Y16" i="6"/>
  <c r="Y17" i="6"/>
  <c r="Y18" i="6"/>
  <c r="Y19" i="6"/>
  <c r="Y20" i="6"/>
  <c r="Y21" i="6"/>
  <c r="Y22" i="6"/>
  <c r="Y23" i="6"/>
  <c r="Y24" i="6"/>
  <c r="Y25" i="6"/>
  <c r="Y27" i="6"/>
  <c r="Y28" i="6"/>
  <c r="Y29" i="6"/>
  <c r="Y30" i="6"/>
  <c r="Y31" i="6"/>
  <c r="Y32" i="6"/>
  <c r="Y33" i="6"/>
  <c r="Y34" i="6"/>
  <c r="Y35" i="6"/>
  <c r="Y36" i="6"/>
  <c r="Y37" i="6"/>
  <c r="Y38" i="6"/>
  <c r="Y39" i="6"/>
  <c r="Y40" i="6"/>
  <c r="Y41" i="6"/>
  <c r="Y42" i="6"/>
  <c r="Y43" i="6"/>
  <c r="Y44" i="6"/>
  <c r="Y45" i="6"/>
  <c r="Y47" i="6"/>
  <c r="Y48" i="6"/>
  <c r="Y49" i="6"/>
  <c r="Y50" i="6"/>
  <c r="Y51" i="6"/>
  <c r="Y52" i="6"/>
  <c r="Y53" i="6"/>
  <c r="Y54" i="6"/>
  <c r="Y55" i="6"/>
  <c r="Y56" i="6"/>
  <c r="Y57" i="6"/>
  <c r="Y58" i="6"/>
  <c r="Y59" i="6"/>
  <c r="Y60" i="6"/>
  <c r="Y61" i="6"/>
  <c r="Y62" i="6"/>
  <c r="Y64" i="6"/>
  <c r="Y65" i="6"/>
  <c r="Y66" i="6"/>
  <c r="S4" i="6"/>
  <c r="S5" i="6"/>
  <c r="S6" i="6"/>
  <c r="S7" i="6"/>
  <c r="S8" i="6"/>
  <c r="S9" i="6"/>
  <c r="S10" i="6"/>
  <c r="S11" i="6"/>
  <c r="S12" i="6"/>
  <c r="S14" i="6"/>
  <c r="S15" i="6"/>
  <c r="S16" i="6"/>
  <c r="S17" i="6"/>
  <c r="S18" i="6"/>
  <c r="S19" i="6"/>
  <c r="S20" i="6"/>
  <c r="S21" i="6"/>
  <c r="S22" i="6"/>
  <c r="S23" i="6"/>
  <c r="S24" i="6"/>
  <c r="S25" i="6"/>
  <c r="S27" i="6"/>
  <c r="S28" i="6"/>
  <c r="S29" i="6"/>
  <c r="S30" i="6"/>
  <c r="S31" i="6"/>
  <c r="S32" i="6"/>
  <c r="S33" i="6"/>
  <c r="S34" i="6"/>
  <c r="S35" i="6"/>
  <c r="S36" i="6"/>
  <c r="S37" i="6"/>
  <c r="S38" i="6"/>
  <c r="S39" i="6"/>
  <c r="S40" i="6"/>
  <c r="S41" i="6"/>
  <c r="S42" i="6"/>
  <c r="S43" i="6"/>
  <c r="S44" i="6"/>
  <c r="S45" i="6"/>
  <c r="S47" i="6"/>
  <c r="S48" i="6"/>
  <c r="S49" i="6"/>
  <c r="S50" i="6"/>
  <c r="S51" i="6"/>
  <c r="S52" i="6"/>
  <c r="S53" i="6"/>
  <c r="S54" i="6"/>
  <c r="S55" i="6"/>
  <c r="S56" i="6"/>
  <c r="S57" i="6"/>
  <c r="S58" i="6"/>
  <c r="S59" i="6"/>
  <c r="S60" i="6"/>
  <c r="S61" i="6"/>
  <c r="S62" i="6"/>
  <c r="S64" i="6"/>
  <c r="S65" i="6"/>
  <c r="S66" i="6"/>
  <c r="M4" i="6"/>
  <c r="M5" i="6"/>
  <c r="M6" i="6"/>
  <c r="M7" i="6"/>
  <c r="M8" i="6"/>
  <c r="M9" i="6"/>
  <c r="M10" i="6"/>
  <c r="M11" i="6"/>
  <c r="M12" i="6"/>
  <c r="M14" i="6"/>
  <c r="M15" i="6"/>
  <c r="M16" i="6"/>
  <c r="M17" i="6"/>
  <c r="M18" i="6"/>
  <c r="M19" i="6"/>
  <c r="M20" i="6"/>
  <c r="M21" i="6"/>
  <c r="M22" i="6"/>
  <c r="M23" i="6"/>
  <c r="M24" i="6"/>
  <c r="M25" i="6"/>
  <c r="M27" i="6"/>
  <c r="M28" i="6"/>
  <c r="M29" i="6"/>
  <c r="M30" i="6"/>
  <c r="M31" i="6"/>
  <c r="M32" i="6"/>
  <c r="M33" i="6"/>
  <c r="M34" i="6"/>
  <c r="M35" i="6"/>
  <c r="M36" i="6"/>
  <c r="M37" i="6"/>
  <c r="M38" i="6"/>
  <c r="M39" i="6"/>
  <c r="M40" i="6"/>
  <c r="M41" i="6"/>
  <c r="M42" i="6"/>
  <c r="M43" i="6"/>
  <c r="M44" i="6"/>
  <c r="M45" i="6"/>
  <c r="M47" i="6"/>
  <c r="M48" i="6"/>
  <c r="M49" i="6"/>
  <c r="M50" i="6"/>
  <c r="M51" i="6"/>
  <c r="M52" i="6"/>
  <c r="M53" i="6"/>
  <c r="M54" i="6"/>
  <c r="M55" i="6"/>
  <c r="M56" i="6"/>
  <c r="M57" i="6"/>
  <c r="M58" i="6"/>
  <c r="M59" i="6"/>
  <c r="M60" i="6"/>
  <c r="M61" i="6"/>
  <c r="M62" i="6"/>
  <c r="M64" i="6"/>
  <c r="M65" i="6"/>
  <c r="M66" i="6"/>
  <c r="G4" i="6"/>
  <c r="G5" i="6"/>
  <c r="G6" i="6"/>
  <c r="G7" i="6"/>
  <c r="G8" i="6"/>
  <c r="G9" i="6"/>
  <c r="G10" i="6"/>
  <c r="G11" i="6"/>
  <c r="G12" i="6"/>
  <c r="G14" i="6"/>
  <c r="G15" i="6"/>
  <c r="G16" i="6"/>
  <c r="G17" i="6"/>
  <c r="G18" i="6"/>
  <c r="G19" i="6"/>
  <c r="G20" i="6"/>
  <c r="G21" i="6"/>
  <c r="G22" i="6"/>
  <c r="G23" i="6"/>
  <c r="G24" i="6"/>
  <c r="G25" i="6"/>
  <c r="G27" i="6"/>
  <c r="G28" i="6"/>
  <c r="G29" i="6"/>
  <c r="G30" i="6"/>
  <c r="G31" i="6"/>
  <c r="G32" i="6"/>
  <c r="G33" i="6"/>
  <c r="G34" i="6"/>
  <c r="G35" i="6"/>
  <c r="G36" i="6"/>
  <c r="G37" i="6"/>
  <c r="G38" i="6"/>
  <c r="G39" i="6"/>
  <c r="G40" i="6"/>
  <c r="G41" i="6"/>
  <c r="G42" i="6"/>
  <c r="G43" i="6"/>
  <c r="G44" i="6"/>
  <c r="G45" i="6"/>
  <c r="G47" i="6"/>
  <c r="G48" i="6"/>
  <c r="G49" i="6"/>
  <c r="G50" i="6"/>
  <c r="G51" i="6"/>
  <c r="G52" i="6"/>
  <c r="G53" i="6"/>
  <c r="G54" i="6"/>
  <c r="G55" i="6"/>
  <c r="G56" i="6"/>
  <c r="G57" i="6"/>
  <c r="G58" i="6"/>
  <c r="G59" i="6"/>
  <c r="G60" i="6"/>
  <c r="G61" i="6"/>
  <c r="G62" i="6"/>
  <c r="G64" i="6"/>
  <c r="G65" i="6"/>
  <c r="G66" i="6"/>
  <c r="Y3" i="6"/>
  <c r="S3" i="6"/>
  <c r="M3" i="6"/>
  <c r="G3" i="6"/>
  <c r="D6" i="7"/>
  <c r="E6" i="7"/>
  <c r="C7" i="7"/>
  <c r="D7" i="7"/>
  <c r="E7" i="7"/>
  <c r="F7" i="7"/>
  <c r="C8" i="7"/>
  <c r="D8" i="7"/>
  <c r="E8" i="7"/>
  <c r="F8" i="7"/>
  <c r="C9" i="7"/>
  <c r="D9" i="7"/>
  <c r="E9" i="7"/>
  <c r="F9" i="7"/>
  <c r="D10" i="7"/>
  <c r="E10" i="7"/>
  <c r="F10" i="7"/>
  <c r="B64" i="6"/>
  <c r="X66" i="6"/>
  <c r="W66" i="6"/>
  <c r="V66" i="6"/>
  <c r="U66" i="6"/>
  <c r="T66" i="6"/>
  <c r="R66" i="6"/>
  <c r="Q66" i="6"/>
  <c r="P66" i="6"/>
  <c r="O66" i="6"/>
  <c r="N66" i="6"/>
  <c r="L66" i="6"/>
  <c r="K66" i="6"/>
  <c r="J66" i="6"/>
  <c r="I66" i="6"/>
  <c r="H66" i="6"/>
  <c r="F66" i="6"/>
  <c r="E66" i="6"/>
  <c r="D66" i="6"/>
  <c r="C66" i="6"/>
  <c r="B66" i="6"/>
  <c r="X65" i="6"/>
  <c r="W65" i="6"/>
  <c r="V65" i="6"/>
  <c r="U65" i="6"/>
  <c r="T65" i="6"/>
  <c r="R65" i="6"/>
  <c r="Q65" i="6"/>
  <c r="P65" i="6"/>
  <c r="O65" i="6"/>
  <c r="N65" i="6"/>
  <c r="L65" i="6"/>
  <c r="K65" i="6"/>
  <c r="J65" i="6"/>
  <c r="I65" i="6"/>
  <c r="H65" i="6"/>
  <c r="F65" i="6"/>
  <c r="E65" i="6"/>
  <c r="D65" i="6"/>
  <c r="C65" i="6"/>
  <c r="B65" i="6"/>
  <c r="X64" i="6"/>
  <c r="W64" i="6"/>
  <c r="V64" i="6"/>
  <c r="U64" i="6"/>
  <c r="T64" i="6"/>
  <c r="R64" i="6"/>
  <c r="Q64" i="6"/>
  <c r="P64" i="6"/>
  <c r="O64" i="6"/>
  <c r="N64" i="6"/>
  <c r="L64" i="6"/>
  <c r="K64" i="6"/>
  <c r="J64" i="6"/>
  <c r="I64" i="6"/>
  <c r="H64" i="6"/>
  <c r="F64" i="6"/>
  <c r="E64" i="6"/>
  <c r="D64" i="6"/>
  <c r="C64" i="6"/>
  <c r="X62" i="6" l="1"/>
  <c r="W62" i="6"/>
  <c r="V62" i="6"/>
  <c r="U62" i="6"/>
  <c r="T62" i="6"/>
  <c r="X61" i="6"/>
  <c r="W61" i="6"/>
  <c r="V61" i="6"/>
  <c r="U61" i="6"/>
  <c r="T61" i="6"/>
  <c r="X60" i="6"/>
  <c r="W60" i="6"/>
  <c r="V60" i="6"/>
  <c r="U60" i="6"/>
  <c r="T60" i="6"/>
  <c r="X59" i="6"/>
  <c r="W59" i="6"/>
  <c r="V59" i="6"/>
  <c r="U59" i="6"/>
  <c r="T59" i="6"/>
  <c r="X58" i="6"/>
  <c r="W58" i="6"/>
  <c r="V58" i="6"/>
  <c r="U58" i="6"/>
  <c r="T58" i="6"/>
  <c r="X57" i="6"/>
  <c r="W57" i="6"/>
  <c r="V57" i="6"/>
  <c r="U57" i="6"/>
  <c r="T57" i="6"/>
  <c r="X56" i="6"/>
  <c r="W56" i="6"/>
  <c r="V56" i="6"/>
  <c r="U56" i="6"/>
  <c r="T56" i="6"/>
  <c r="X55" i="6"/>
  <c r="W55" i="6"/>
  <c r="V55" i="6"/>
  <c r="U55" i="6"/>
  <c r="T55" i="6"/>
  <c r="X54" i="6"/>
  <c r="W54" i="6"/>
  <c r="V54" i="6"/>
  <c r="U54" i="6"/>
  <c r="T54" i="6"/>
  <c r="X53" i="6"/>
  <c r="W53" i="6"/>
  <c r="V53" i="6"/>
  <c r="U53" i="6"/>
  <c r="T53" i="6"/>
  <c r="X52" i="6"/>
  <c r="W52" i="6"/>
  <c r="V52" i="6"/>
  <c r="U52" i="6"/>
  <c r="T52" i="6"/>
  <c r="X51" i="6"/>
  <c r="W51" i="6"/>
  <c r="V51" i="6"/>
  <c r="U51" i="6"/>
  <c r="T51" i="6"/>
  <c r="X50" i="6"/>
  <c r="W50" i="6"/>
  <c r="V50" i="6"/>
  <c r="U50" i="6"/>
  <c r="T50" i="6"/>
  <c r="X49" i="6"/>
  <c r="W49" i="6"/>
  <c r="V49" i="6"/>
  <c r="U49" i="6"/>
  <c r="T49" i="6"/>
  <c r="X48" i="6"/>
  <c r="W48" i="6"/>
  <c r="V48" i="6"/>
  <c r="U48" i="6"/>
  <c r="T48" i="6"/>
  <c r="X47" i="6"/>
  <c r="W47" i="6"/>
  <c r="V47" i="6"/>
  <c r="U47" i="6"/>
  <c r="T47" i="6"/>
  <c r="R62" i="6"/>
  <c r="Q62" i="6"/>
  <c r="P62" i="6"/>
  <c r="O62" i="6"/>
  <c r="N62" i="6"/>
  <c r="R61" i="6"/>
  <c r="Q61" i="6"/>
  <c r="P61" i="6"/>
  <c r="O61" i="6"/>
  <c r="N61" i="6"/>
  <c r="R60" i="6"/>
  <c r="Q60" i="6"/>
  <c r="P60" i="6"/>
  <c r="O60" i="6"/>
  <c r="N60" i="6"/>
  <c r="R59" i="6"/>
  <c r="Q59" i="6"/>
  <c r="P59" i="6"/>
  <c r="O59" i="6"/>
  <c r="N59" i="6"/>
  <c r="R58" i="6"/>
  <c r="Q58" i="6"/>
  <c r="P58" i="6"/>
  <c r="O58" i="6"/>
  <c r="N58" i="6"/>
  <c r="R57" i="6"/>
  <c r="Q57" i="6"/>
  <c r="P57" i="6"/>
  <c r="O57" i="6"/>
  <c r="N57" i="6"/>
  <c r="R56" i="6"/>
  <c r="Q56" i="6"/>
  <c r="P56" i="6"/>
  <c r="O56" i="6"/>
  <c r="N56" i="6"/>
  <c r="R55" i="6"/>
  <c r="Q55" i="6"/>
  <c r="P55" i="6"/>
  <c r="O55" i="6"/>
  <c r="N55" i="6"/>
  <c r="R54" i="6"/>
  <c r="Q54" i="6"/>
  <c r="P54" i="6"/>
  <c r="O54" i="6"/>
  <c r="N54" i="6"/>
  <c r="R53" i="6"/>
  <c r="Q53" i="6"/>
  <c r="P53" i="6"/>
  <c r="O53" i="6"/>
  <c r="N53" i="6"/>
  <c r="R52" i="6"/>
  <c r="Q52" i="6"/>
  <c r="P52" i="6"/>
  <c r="O52" i="6"/>
  <c r="N52" i="6"/>
  <c r="R51" i="6"/>
  <c r="Q51" i="6"/>
  <c r="P51" i="6"/>
  <c r="O51" i="6"/>
  <c r="N51" i="6"/>
  <c r="R50" i="6"/>
  <c r="Q50" i="6"/>
  <c r="P50" i="6"/>
  <c r="O50" i="6"/>
  <c r="N50" i="6"/>
  <c r="R49" i="6"/>
  <c r="Q49" i="6"/>
  <c r="P49" i="6"/>
  <c r="O49" i="6"/>
  <c r="N49" i="6"/>
  <c r="R48" i="6"/>
  <c r="Q48" i="6"/>
  <c r="P48" i="6"/>
  <c r="O48" i="6"/>
  <c r="N48" i="6"/>
  <c r="R47" i="6"/>
  <c r="Q47" i="6"/>
  <c r="P47" i="6"/>
  <c r="O47" i="6"/>
  <c r="N47" i="6"/>
  <c r="L62" i="6"/>
  <c r="K62" i="6"/>
  <c r="J62" i="6"/>
  <c r="I62" i="6"/>
  <c r="H62" i="6"/>
  <c r="L61" i="6"/>
  <c r="K61" i="6"/>
  <c r="J61" i="6"/>
  <c r="I61" i="6"/>
  <c r="H61" i="6"/>
  <c r="L60" i="6"/>
  <c r="K60" i="6"/>
  <c r="J60" i="6"/>
  <c r="I60" i="6"/>
  <c r="H60" i="6"/>
  <c r="L59" i="6"/>
  <c r="K59" i="6"/>
  <c r="J59" i="6"/>
  <c r="I59" i="6"/>
  <c r="H59" i="6"/>
  <c r="L58" i="6"/>
  <c r="K58" i="6"/>
  <c r="J58" i="6"/>
  <c r="I58" i="6"/>
  <c r="H58" i="6"/>
  <c r="L57" i="6"/>
  <c r="K57" i="6"/>
  <c r="J57" i="6"/>
  <c r="I57" i="6"/>
  <c r="H57" i="6"/>
  <c r="L56" i="6"/>
  <c r="K56" i="6"/>
  <c r="J56" i="6"/>
  <c r="I56" i="6"/>
  <c r="H56" i="6"/>
  <c r="L55" i="6"/>
  <c r="K55" i="6"/>
  <c r="J55" i="6"/>
  <c r="I55" i="6"/>
  <c r="H55" i="6"/>
  <c r="L54" i="6"/>
  <c r="K54" i="6"/>
  <c r="J54" i="6"/>
  <c r="I54" i="6"/>
  <c r="H54" i="6"/>
  <c r="L53" i="6"/>
  <c r="K53" i="6"/>
  <c r="J53" i="6"/>
  <c r="I53" i="6"/>
  <c r="H53" i="6"/>
  <c r="L52" i="6"/>
  <c r="K52" i="6"/>
  <c r="J52" i="6"/>
  <c r="I52" i="6"/>
  <c r="H52" i="6"/>
  <c r="L51" i="6"/>
  <c r="K51" i="6"/>
  <c r="J51" i="6"/>
  <c r="I51" i="6"/>
  <c r="H51" i="6"/>
  <c r="L50" i="6"/>
  <c r="K50" i="6"/>
  <c r="J50" i="6"/>
  <c r="I50" i="6"/>
  <c r="H50" i="6"/>
  <c r="L49" i="6"/>
  <c r="K49" i="6"/>
  <c r="J49" i="6"/>
  <c r="I49" i="6"/>
  <c r="H49" i="6"/>
  <c r="L48" i="6"/>
  <c r="K48" i="6"/>
  <c r="J48" i="6"/>
  <c r="I48" i="6"/>
  <c r="H48" i="6"/>
  <c r="L47" i="6"/>
  <c r="K47" i="6"/>
  <c r="J47" i="6"/>
  <c r="I47" i="6"/>
  <c r="H47" i="6"/>
  <c r="F62" i="6"/>
  <c r="E62" i="6"/>
  <c r="D62" i="6"/>
  <c r="C62" i="6"/>
  <c r="B62" i="6"/>
  <c r="F61" i="6"/>
  <c r="E61" i="6"/>
  <c r="D61" i="6"/>
  <c r="C61" i="6"/>
  <c r="B61" i="6"/>
  <c r="F60" i="6"/>
  <c r="E60" i="6"/>
  <c r="D60" i="6"/>
  <c r="C60" i="6"/>
  <c r="B60" i="6"/>
  <c r="F59" i="6"/>
  <c r="E59" i="6"/>
  <c r="D59" i="6"/>
  <c r="C59" i="6"/>
  <c r="B59" i="6"/>
  <c r="F58" i="6"/>
  <c r="E58" i="6"/>
  <c r="D58" i="6"/>
  <c r="C58" i="6"/>
  <c r="B58" i="6"/>
  <c r="F57" i="6"/>
  <c r="E57" i="6"/>
  <c r="D57" i="6"/>
  <c r="C57" i="6"/>
  <c r="B57" i="6"/>
  <c r="F56" i="6"/>
  <c r="E56" i="6"/>
  <c r="D56" i="6"/>
  <c r="C56" i="6"/>
  <c r="B56" i="6"/>
  <c r="F55" i="6"/>
  <c r="E55" i="6"/>
  <c r="D55" i="6"/>
  <c r="C55" i="6"/>
  <c r="B55" i="6"/>
  <c r="F54" i="6"/>
  <c r="E54" i="6"/>
  <c r="D54" i="6"/>
  <c r="C54" i="6"/>
  <c r="B54" i="6"/>
  <c r="F53" i="6"/>
  <c r="E53" i="6"/>
  <c r="D53" i="6"/>
  <c r="C53" i="6"/>
  <c r="B53" i="6"/>
  <c r="F52" i="6"/>
  <c r="E52" i="6"/>
  <c r="D52" i="6"/>
  <c r="C52" i="6"/>
  <c r="B52" i="6"/>
  <c r="F51" i="6"/>
  <c r="E51" i="6"/>
  <c r="D51" i="6"/>
  <c r="C51" i="6"/>
  <c r="B51" i="6"/>
  <c r="F50" i="6"/>
  <c r="E50" i="6"/>
  <c r="D50" i="6"/>
  <c r="C50" i="6"/>
  <c r="B50" i="6"/>
  <c r="F49" i="6"/>
  <c r="E49" i="6"/>
  <c r="D49" i="6"/>
  <c r="C49" i="6"/>
  <c r="B49" i="6"/>
  <c r="F48" i="6"/>
  <c r="E48" i="6"/>
  <c r="D48" i="6"/>
  <c r="C48" i="6"/>
  <c r="B48" i="6"/>
  <c r="F47" i="6"/>
  <c r="E47" i="6"/>
  <c r="D47" i="6"/>
  <c r="C47" i="6"/>
  <c r="B47" i="6"/>
  <c r="X45" i="6"/>
  <c r="W45" i="6"/>
  <c r="V45" i="6"/>
  <c r="U45" i="6"/>
  <c r="T45" i="6"/>
  <c r="X44" i="6"/>
  <c r="W44" i="6"/>
  <c r="V44" i="6"/>
  <c r="U44" i="6"/>
  <c r="T44" i="6"/>
  <c r="X43" i="6"/>
  <c r="W43" i="6"/>
  <c r="V43" i="6"/>
  <c r="U43" i="6"/>
  <c r="T43" i="6"/>
  <c r="X42" i="6"/>
  <c r="W42" i="6"/>
  <c r="V42" i="6"/>
  <c r="U42" i="6"/>
  <c r="T42" i="6"/>
  <c r="X41" i="6"/>
  <c r="W41" i="6"/>
  <c r="V41" i="6"/>
  <c r="U41" i="6"/>
  <c r="T41" i="6"/>
  <c r="X40" i="6"/>
  <c r="W40" i="6"/>
  <c r="V40" i="6"/>
  <c r="U40" i="6"/>
  <c r="T40" i="6"/>
  <c r="X39" i="6"/>
  <c r="W39" i="6"/>
  <c r="V39" i="6"/>
  <c r="U39" i="6"/>
  <c r="T39" i="6"/>
  <c r="X38" i="6"/>
  <c r="W38" i="6"/>
  <c r="V38" i="6"/>
  <c r="U38" i="6"/>
  <c r="T38" i="6"/>
  <c r="X37" i="6"/>
  <c r="W37" i="6"/>
  <c r="V37" i="6"/>
  <c r="U37" i="6"/>
  <c r="T37" i="6"/>
  <c r="X36" i="6"/>
  <c r="W36" i="6"/>
  <c r="V36" i="6"/>
  <c r="U36" i="6"/>
  <c r="T36" i="6"/>
  <c r="X35" i="6"/>
  <c r="W35" i="6"/>
  <c r="V35" i="6"/>
  <c r="U35" i="6"/>
  <c r="T35" i="6"/>
  <c r="X34" i="6"/>
  <c r="W34" i="6"/>
  <c r="V34" i="6"/>
  <c r="U34" i="6"/>
  <c r="T34" i="6"/>
  <c r="X33" i="6"/>
  <c r="W33" i="6"/>
  <c r="V33" i="6"/>
  <c r="U33" i="6"/>
  <c r="T33" i="6"/>
  <c r="X32" i="6"/>
  <c r="W32" i="6"/>
  <c r="V32" i="6"/>
  <c r="U32" i="6"/>
  <c r="T32" i="6"/>
  <c r="X31" i="6"/>
  <c r="W31" i="6"/>
  <c r="V31" i="6"/>
  <c r="U31" i="6"/>
  <c r="T31" i="6"/>
  <c r="X30" i="6"/>
  <c r="W30" i="6"/>
  <c r="V30" i="6"/>
  <c r="U30" i="6"/>
  <c r="T30" i="6"/>
  <c r="X29" i="6"/>
  <c r="W29" i="6"/>
  <c r="V29" i="6"/>
  <c r="U29" i="6"/>
  <c r="T29" i="6"/>
  <c r="X28" i="6"/>
  <c r="W28" i="6"/>
  <c r="V28" i="6"/>
  <c r="U28" i="6"/>
  <c r="T28" i="6"/>
  <c r="X27" i="6"/>
  <c r="W27" i="6"/>
  <c r="V27" i="6"/>
  <c r="U27" i="6"/>
  <c r="T27" i="6"/>
  <c r="R45" i="6"/>
  <c r="Q45" i="6"/>
  <c r="P45" i="6"/>
  <c r="O45" i="6"/>
  <c r="N45" i="6"/>
  <c r="R44" i="6"/>
  <c r="Q44" i="6"/>
  <c r="P44" i="6"/>
  <c r="O44" i="6"/>
  <c r="N44" i="6"/>
  <c r="R43" i="6"/>
  <c r="Q43" i="6"/>
  <c r="P43" i="6"/>
  <c r="O43" i="6"/>
  <c r="N43" i="6"/>
  <c r="R42" i="6"/>
  <c r="Q42" i="6"/>
  <c r="P42" i="6"/>
  <c r="O42" i="6"/>
  <c r="N42" i="6"/>
  <c r="R41" i="6"/>
  <c r="Q41" i="6"/>
  <c r="P41" i="6"/>
  <c r="O41" i="6"/>
  <c r="N41" i="6"/>
  <c r="R40" i="6"/>
  <c r="Q40" i="6"/>
  <c r="P40" i="6"/>
  <c r="O40" i="6"/>
  <c r="N40" i="6"/>
  <c r="R39" i="6"/>
  <c r="Q39" i="6"/>
  <c r="P39" i="6"/>
  <c r="O39" i="6"/>
  <c r="N39" i="6"/>
  <c r="R38" i="6"/>
  <c r="Q38" i="6"/>
  <c r="P38" i="6"/>
  <c r="O38" i="6"/>
  <c r="N38" i="6"/>
  <c r="R37" i="6"/>
  <c r="Q37" i="6"/>
  <c r="P37" i="6"/>
  <c r="O37" i="6"/>
  <c r="N37" i="6"/>
  <c r="R36" i="6"/>
  <c r="Q36" i="6"/>
  <c r="P36" i="6"/>
  <c r="O36" i="6"/>
  <c r="N36" i="6"/>
  <c r="R35" i="6"/>
  <c r="Q35" i="6"/>
  <c r="P35" i="6"/>
  <c r="O35" i="6"/>
  <c r="N35" i="6"/>
  <c r="R34" i="6"/>
  <c r="Q34" i="6"/>
  <c r="P34" i="6"/>
  <c r="O34" i="6"/>
  <c r="N34" i="6"/>
  <c r="R33" i="6"/>
  <c r="Q33" i="6"/>
  <c r="P33" i="6"/>
  <c r="O33" i="6"/>
  <c r="N33" i="6"/>
  <c r="R32" i="6"/>
  <c r="Q32" i="6"/>
  <c r="P32" i="6"/>
  <c r="O32" i="6"/>
  <c r="N32" i="6"/>
  <c r="R31" i="6"/>
  <c r="Q31" i="6"/>
  <c r="P31" i="6"/>
  <c r="O31" i="6"/>
  <c r="N31" i="6"/>
  <c r="R30" i="6"/>
  <c r="Q30" i="6"/>
  <c r="P30" i="6"/>
  <c r="O30" i="6"/>
  <c r="N30" i="6"/>
  <c r="R29" i="6"/>
  <c r="Q29" i="6"/>
  <c r="P29" i="6"/>
  <c r="O29" i="6"/>
  <c r="N29" i="6"/>
  <c r="R28" i="6"/>
  <c r="Q28" i="6"/>
  <c r="P28" i="6"/>
  <c r="O28" i="6"/>
  <c r="N28" i="6"/>
  <c r="R27" i="6"/>
  <c r="Q27" i="6"/>
  <c r="P27" i="6"/>
  <c r="O27" i="6"/>
  <c r="N27" i="6"/>
  <c r="L45" i="6"/>
  <c r="K45" i="6"/>
  <c r="J45" i="6"/>
  <c r="I45" i="6"/>
  <c r="H45" i="6"/>
  <c r="L44" i="6"/>
  <c r="K44" i="6"/>
  <c r="J44" i="6"/>
  <c r="I44" i="6"/>
  <c r="H44" i="6"/>
  <c r="L43" i="6"/>
  <c r="K43" i="6"/>
  <c r="J43" i="6"/>
  <c r="I43" i="6"/>
  <c r="H43" i="6"/>
  <c r="L42" i="6"/>
  <c r="K42" i="6"/>
  <c r="J42" i="6"/>
  <c r="I42" i="6"/>
  <c r="H42" i="6"/>
  <c r="L41" i="6"/>
  <c r="K41" i="6"/>
  <c r="J41" i="6"/>
  <c r="I41" i="6"/>
  <c r="H41" i="6"/>
  <c r="L40" i="6"/>
  <c r="K40" i="6"/>
  <c r="J40" i="6"/>
  <c r="I40" i="6"/>
  <c r="H40" i="6"/>
  <c r="L39" i="6"/>
  <c r="K39" i="6"/>
  <c r="J39" i="6"/>
  <c r="I39" i="6"/>
  <c r="H39" i="6"/>
  <c r="L38" i="6"/>
  <c r="K38" i="6"/>
  <c r="J38" i="6"/>
  <c r="I38" i="6"/>
  <c r="H38" i="6"/>
  <c r="L37" i="6"/>
  <c r="K37" i="6"/>
  <c r="J37" i="6"/>
  <c r="I37" i="6"/>
  <c r="H37" i="6"/>
  <c r="L36" i="6"/>
  <c r="K36" i="6"/>
  <c r="J36" i="6"/>
  <c r="I36" i="6"/>
  <c r="H36" i="6"/>
  <c r="L35" i="6"/>
  <c r="K35" i="6"/>
  <c r="J35" i="6"/>
  <c r="I35" i="6"/>
  <c r="H35" i="6"/>
  <c r="L34" i="6"/>
  <c r="K34" i="6"/>
  <c r="J34" i="6"/>
  <c r="I34" i="6"/>
  <c r="H34" i="6"/>
  <c r="L33" i="6"/>
  <c r="K33" i="6"/>
  <c r="J33" i="6"/>
  <c r="I33" i="6"/>
  <c r="H33" i="6"/>
  <c r="L32" i="6"/>
  <c r="K32" i="6"/>
  <c r="J32" i="6"/>
  <c r="I32" i="6"/>
  <c r="H32" i="6"/>
  <c r="L31" i="6"/>
  <c r="K31" i="6"/>
  <c r="J31" i="6"/>
  <c r="I31" i="6"/>
  <c r="H31" i="6"/>
  <c r="L30" i="6"/>
  <c r="K30" i="6"/>
  <c r="J30" i="6"/>
  <c r="I30" i="6"/>
  <c r="H30" i="6"/>
  <c r="L29" i="6"/>
  <c r="K29" i="6"/>
  <c r="J29" i="6"/>
  <c r="I29" i="6"/>
  <c r="H29" i="6"/>
  <c r="L28" i="6"/>
  <c r="K28" i="6"/>
  <c r="J28" i="6"/>
  <c r="I28" i="6"/>
  <c r="H28" i="6"/>
  <c r="L27" i="6"/>
  <c r="K27" i="6"/>
  <c r="J27" i="6"/>
  <c r="I27" i="6"/>
  <c r="H27" i="6"/>
  <c r="F45" i="6"/>
  <c r="E45" i="6"/>
  <c r="D45" i="6"/>
  <c r="C45" i="6"/>
  <c r="B45" i="6"/>
  <c r="F44" i="6"/>
  <c r="E44" i="6"/>
  <c r="D44" i="6"/>
  <c r="C44" i="6"/>
  <c r="B44" i="6"/>
  <c r="F43" i="6"/>
  <c r="E43" i="6"/>
  <c r="D43" i="6"/>
  <c r="C43" i="6"/>
  <c r="B43" i="6"/>
  <c r="F42" i="6"/>
  <c r="E42" i="6"/>
  <c r="D42" i="6"/>
  <c r="C42" i="6"/>
  <c r="B42" i="6"/>
  <c r="F41" i="6"/>
  <c r="E41" i="6"/>
  <c r="D41" i="6"/>
  <c r="C41" i="6"/>
  <c r="B41" i="6"/>
  <c r="F40" i="6"/>
  <c r="E40" i="6"/>
  <c r="D40" i="6"/>
  <c r="C40" i="6"/>
  <c r="B40" i="6"/>
  <c r="F39" i="6"/>
  <c r="E39" i="6"/>
  <c r="D39" i="6"/>
  <c r="C39" i="6"/>
  <c r="B39" i="6"/>
  <c r="F38" i="6"/>
  <c r="E38" i="6"/>
  <c r="D38" i="6"/>
  <c r="C38" i="6"/>
  <c r="B38" i="6"/>
  <c r="F37" i="6"/>
  <c r="E37" i="6"/>
  <c r="D37" i="6"/>
  <c r="C37" i="6"/>
  <c r="B37" i="6"/>
  <c r="F36" i="6"/>
  <c r="E36" i="6"/>
  <c r="D36" i="6"/>
  <c r="C36" i="6"/>
  <c r="B36" i="6"/>
  <c r="F35" i="6"/>
  <c r="E35" i="6"/>
  <c r="D35" i="6"/>
  <c r="C35" i="6"/>
  <c r="B35" i="6"/>
  <c r="F34" i="6"/>
  <c r="E34" i="6"/>
  <c r="D34" i="6"/>
  <c r="C34" i="6"/>
  <c r="B34" i="6"/>
  <c r="F33" i="6"/>
  <c r="E33" i="6"/>
  <c r="D33" i="6"/>
  <c r="C33" i="6"/>
  <c r="B33" i="6"/>
  <c r="F32" i="6"/>
  <c r="E32" i="6"/>
  <c r="D32" i="6"/>
  <c r="C32" i="6"/>
  <c r="B32" i="6"/>
  <c r="F31" i="6"/>
  <c r="E31" i="6"/>
  <c r="D31" i="6"/>
  <c r="C31" i="6"/>
  <c r="B31" i="6"/>
  <c r="F30" i="6"/>
  <c r="E30" i="6"/>
  <c r="D30" i="6"/>
  <c r="C30" i="6"/>
  <c r="B30" i="6"/>
  <c r="F29" i="6"/>
  <c r="E29" i="6"/>
  <c r="D29" i="6"/>
  <c r="C29" i="6"/>
  <c r="B29" i="6"/>
  <c r="F28" i="6"/>
  <c r="E28" i="6"/>
  <c r="D28" i="6"/>
  <c r="C28" i="6"/>
  <c r="B28" i="6"/>
  <c r="F27" i="6"/>
  <c r="E27" i="6"/>
  <c r="D27" i="6"/>
  <c r="C27" i="6"/>
  <c r="B27" i="6"/>
  <c r="X25" i="6"/>
  <c r="W25" i="6"/>
  <c r="V25" i="6"/>
  <c r="U25" i="6"/>
  <c r="T25" i="6"/>
  <c r="X24" i="6"/>
  <c r="W24" i="6"/>
  <c r="V24" i="6"/>
  <c r="U24" i="6"/>
  <c r="T24" i="6"/>
  <c r="X23" i="6"/>
  <c r="W23" i="6"/>
  <c r="V23" i="6"/>
  <c r="U23" i="6"/>
  <c r="T23" i="6"/>
  <c r="X22" i="6"/>
  <c r="W22" i="6"/>
  <c r="V22" i="6"/>
  <c r="U22" i="6"/>
  <c r="T22" i="6"/>
  <c r="X21" i="6"/>
  <c r="W21" i="6"/>
  <c r="V21" i="6"/>
  <c r="U21" i="6"/>
  <c r="T21" i="6"/>
  <c r="X20" i="6"/>
  <c r="W20" i="6"/>
  <c r="V20" i="6"/>
  <c r="U20" i="6"/>
  <c r="T20" i="6"/>
  <c r="X19" i="6"/>
  <c r="W19" i="6"/>
  <c r="V19" i="6"/>
  <c r="U19" i="6"/>
  <c r="T19" i="6"/>
  <c r="X18" i="6"/>
  <c r="W18" i="6"/>
  <c r="V18" i="6"/>
  <c r="U18" i="6"/>
  <c r="T18" i="6"/>
  <c r="X17" i="6"/>
  <c r="W17" i="6"/>
  <c r="V17" i="6"/>
  <c r="U17" i="6"/>
  <c r="T17" i="6"/>
  <c r="X16" i="6"/>
  <c r="W16" i="6"/>
  <c r="V16" i="6"/>
  <c r="U16" i="6"/>
  <c r="T16" i="6"/>
  <c r="X15" i="6"/>
  <c r="W15" i="6"/>
  <c r="V15" i="6"/>
  <c r="U15" i="6"/>
  <c r="T15" i="6"/>
  <c r="X14" i="6"/>
  <c r="W14" i="6"/>
  <c r="V14" i="6"/>
  <c r="U14" i="6"/>
  <c r="T14" i="6"/>
  <c r="R25" i="6"/>
  <c r="Q25" i="6"/>
  <c r="P25" i="6"/>
  <c r="O25" i="6"/>
  <c r="N25" i="6"/>
  <c r="R24" i="6"/>
  <c r="Q24" i="6"/>
  <c r="P24" i="6"/>
  <c r="O24" i="6"/>
  <c r="N24" i="6"/>
  <c r="R23" i="6"/>
  <c r="Q23" i="6"/>
  <c r="P23" i="6"/>
  <c r="O23" i="6"/>
  <c r="N23" i="6"/>
  <c r="R22" i="6"/>
  <c r="Q22" i="6"/>
  <c r="P22" i="6"/>
  <c r="O22" i="6"/>
  <c r="N22" i="6"/>
  <c r="R21" i="6"/>
  <c r="Q21" i="6"/>
  <c r="P21" i="6"/>
  <c r="O21" i="6"/>
  <c r="N21" i="6"/>
  <c r="R20" i="6"/>
  <c r="Q20" i="6"/>
  <c r="P20" i="6"/>
  <c r="O20" i="6"/>
  <c r="N20" i="6"/>
  <c r="R19" i="6"/>
  <c r="Q19" i="6"/>
  <c r="P19" i="6"/>
  <c r="O19" i="6"/>
  <c r="N19" i="6"/>
  <c r="R18" i="6"/>
  <c r="Q18" i="6"/>
  <c r="P18" i="6"/>
  <c r="O18" i="6"/>
  <c r="N18" i="6"/>
  <c r="R17" i="6"/>
  <c r="Q17" i="6"/>
  <c r="P17" i="6"/>
  <c r="O17" i="6"/>
  <c r="N17" i="6"/>
  <c r="R16" i="6"/>
  <c r="Q16" i="6"/>
  <c r="P16" i="6"/>
  <c r="O16" i="6"/>
  <c r="N16" i="6"/>
  <c r="R15" i="6"/>
  <c r="Q15" i="6"/>
  <c r="P15" i="6"/>
  <c r="O15" i="6"/>
  <c r="N15" i="6"/>
  <c r="R14" i="6"/>
  <c r="Q14" i="6"/>
  <c r="P14" i="6"/>
  <c r="O14" i="6"/>
  <c r="N14" i="6"/>
  <c r="L25" i="6"/>
  <c r="K25" i="6"/>
  <c r="J25" i="6"/>
  <c r="I25" i="6"/>
  <c r="H25" i="6"/>
  <c r="L24" i="6"/>
  <c r="K24" i="6"/>
  <c r="J24" i="6"/>
  <c r="I24" i="6"/>
  <c r="H24" i="6"/>
  <c r="L23" i="6"/>
  <c r="K23" i="6"/>
  <c r="J23" i="6"/>
  <c r="I23" i="6"/>
  <c r="H23" i="6"/>
  <c r="L22" i="6"/>
  <c r="K22" i="6"/>
  <c r="J22" i="6"/>
  <c r="I22" i="6"/>
  <c r="H22" i="6"/>
  <c r="L21" i="6"/>
  <c r="K21" i="6"/>
  <c r="J21" i="6"/>
  <c r="I21" i="6"/>
  <c r="H21" i="6"/>
  <c r="L20" i="6"/>
  <c r="K20" i="6"/>
  <c r="J20" i="6"/>
  <c r="I20" i="6"/>
  <c r="H20" i="6"/>
  <c r="L19" i="6"/>
  <c r="K19" i="6"/>
  <c r="J19" i="6"/>
  <c r="I19" i="6"/>
  <c r="H19" i="6"/>
  <c r="L18" i="6"/>
  <c r="K18" i="6"/>
  <c r="J18" i="6"/>
  <c r="I18" i="6"/>
  <c r="H18" i="6"/>
  <c r="L17" i="6"/>
  <c r="K17" i="6"/>
  <c r="J17" i="6"/>
  <c r="I17" i="6"/>
  <c r="H17" i="6"/>
  <c r="L16" i="6"/>
  <c r="K16" i="6"/>
  <c r="J16" i="6"/>
  <c r="I16" i="6"/>
  <c r="H16" i="6"/>
  <c r="L15" i="6"/>
  <c r="K15" i="6"/>
  <c r="J15" i="6"/>
  <c r="I15" i="6"/>
  <c r="H15" i="6"/>
  <c r="L14" i="6"/>
  <c r="K14" i="6"/>
  <c r="J14" i="6"/>
  <c r="I14" i="6"/>
  <c r="H14" i="6"/>
  <c r="F25" i="6"/>
  <c r="E25" i="6"/>
  <c r="D25" i="6"/>
  <c r="C25" i="6"/>
  <c r="B25" i="6"/>
  <c r="F24" i="6"/>
  <c r="E24" i="6"/>
  <c r="D24" i="6"/>
  <c r="C24" i="6"/>
  <c r="B24" i="6"/>
  <c r="F23" i="6"/>
  <c r="E23" i="6"/>
  <c r="D23" i="6"/>
  <c r="C23" i="6"/>
  <c r="B23" i="6"/>
  <c r="F22" i="6"/>
  <c r="E22" i="6"/>
  <c r="D22" i="6"/>
  <c r="C22" i="6"/>
  <c r="B22" i="6"/>
  <c r="F21" i="6"/>
  <c r="E21" i="6"/>
  <c r="D21" i="6"/>
  <c r="C21" i="6"/>
  <c r="B21" i="6"/>
  <c r="F20" i="6"/>
  <c r="E20" i="6"/>
  <c r="D20" i="6"/>
  <c r="C20" i="6"/>
  <c r="B20" i="6"/>
  <c r="F19" i="6"/>
  <c r="E19" i="6"/>
  <c r="D19" i="6"/>
  <c r="C19" i="6"/>
  <c r="B19" i="6"/>
  <c r="F18" i="6"/>
  <c r="E18" i="6"/>
  <c r="D18" i="6"/>
  <c r="C18" i="6"/>
  <c r="B18" i="6"/>
  <c r="F17" i="6"/>
  <c r="E17" i="6"/>
  <c r="D17" i="6"/>
  <c r="C17" i="6"/>
  <c r="B17" i="6"/>
  <c r="F16" i="6"/>
  <c r="E16" i="6"/>
  <c r="D16" i="6"/>
  <c r="C16" i="6"/>
  <c r="B16" i="6"/>
  <c r="F15" i="6"/>
  <c r="E15" i="6"/>
  <c r="D15" i="6"/>
  <c r="C15" i="6"/>
  <c r="B15" i="6"/>
  <c r="F14" i="6"/>
  <c r="E14" i="6"/>
  <c r="D14" i="6"/>
  <c r="C14" i="6"/>
  <c r="B14" i="6"/>
  <c r="X12" i="6"/>
  <c r="W12" i="6"/>
  <c r="V12" i="6"/>
  <c r="U12" i="6"/>
  <c r="T12" i="6"/>
  <c r="X11" i="6"/>
  <c r="W11" i="6"/>
  <c r="V11" i="6"/>
  <c r="U11" i="6"/>
  <c r="T11" i="6"/>
  <c r="X10" i="6"/>
  <c r="W10" i="6"/>
  <c r="V10" i="6"/>
  <c r="U10" i="6"/>
  <c r="T10" i="6"/>
  <c r="X9" i="6"/>
  <c r="W9" i="6"/>
  <c r="V9" i="6"/>
  <c r="U9" i="6"/>
  <c r="T9" i="6"/>
  <c r="X8" i="6"/>
  <c r="W8" i="6"/>
  <c r="V8" i="6"/>
  <c r="U8" i="6"/>
  <c r="T8" i="6"/>
  <c r="X7" i="6"/>
  <c r="W7" i="6"/>
  <c r="V7" i="6"/>
  <c r="U7" i="6"/>
  <c r="T7" i="6"/>
  <c r="X6" i="6"/>
  <c r="W6" i="6"/>
  <c r="V6" i="6"/>
  <c r="U6" i="6"/>
  <c r="T6" i="6"/>
  <c r="X5" i="6"/>
  <c r="W5" i="6"/>
  <c r="V5" i="6"/>
  <c r="U5" i="6"/>
  <c r="T5" i="6"/>
  <c r="X4" i="6"/>
  <c r="W4" i="6"/>
  <c r="V4" i="6"/>
  <c r="U4" i="6"/>
  <c r="T4" i="6"/>
  <c r="X3" i="6"/>
  <c r="W3" i="6"/>
  <c r="V3" i="6"/>
  <c r="U3" i="6"/>
  <c r="T3" i="6"/>
  <c r="R12" i="6"/>
  <c r="Q12" i="6"/>
  <c r="P12" i="6"/>
  <c r="O12" i="6"/>
  <c r="N12" i="6"/>
  <c r="R11" i="6"/>
  <c r="Q11" i="6"/>
  <c r="P11" i="6"/>
  <c r="O11" i="6"/>
  <c r="N11" i="6"/>
  <c r="R10" i="6"/>
  <c r="Q10" i="6"/>
  <c r="P10" i="6"/>
  <c r="O10" i="6"/>
  <c r="N10" i="6"/>
  <c r="R9" i="6"/>
  <c r="Q9" i="6"/>
  <c r="P9" i="6"/>
  <c r="O9" i="6"/>
  <c r="N9" i="6"/>
  <c r="R8" i="6"/>
  <c r="Q8" i="6"/>
  <c r="P8" i="6"/>
  <c r="O8" i="6"/>
  <c r="N8" i="6"/>
  <c r="R7" i="6"/>
  <c r="Q7" i="6"/>
  <c r="P7" i="6"/>
  <c r="O7" i="6"/>
  <c r="N7" i="6"/>
  <c r="R6" i="6"/>
  <c r="Q6" i="6"/>
  <c r="P6" i="6"/>
  <c r="O6" i="6"/>
  <c r="N6" i="6"/>
  <c r="R5" i="6"/>
  <c r="Q5" i="6"/>
  <c r="P5" i="6"/>
  <c r="O5" i="6"/>
  <c r="N5" i="6"/>
  <c r="R4" i="6"/>
  <c r="Q4" i="6"/>
  <c r="P4" i="6"/>
  <c r="O4" i="6"/>
  <c r="N4" i="6"/>
  <c r="R3" i="6"/>
  <c r="Q3" i="6"/>
  <c r="P3" i="6"/>
  <c r="O3" i="6"/>
  <c r="N3" i="6"/>
  <c r="L12" i="6"/>
  <c r="K12" i="6"/>
  <c r="J12" i="6"/>
  <c r="I12" i="6"/>
  <c r="H12" i="6"/>
  <c r="L11" i="6"/>
  <c r="K11" i="6"/>
  <c r="J11" i="6"/>
  <c r="I11" i="6"/>
  <c r="H11" i="6"/>
  <c r="L10" i="6"/>
  <c r="K10" i="6"/>
  <c r="J10" i="6"/>
  <c r="I10" i="6"/>
  <c r="H10" i="6"/>
  <c r="L9" i="6"/>
  <c r="K9" i="6"/>
  <c r="J9" i="6"/>
  <c r="I9" i="6"/>
  <c r="H9" i="6"/>
  <c r="L8" i="6"/>
  <c r="K8" i="6"/>
  <c r="J8" i="6"/>
  <c r="I8" i="6"/>
  <c r="H8" i="6"/>
  <c r="L7" i="6"/>
  <c r="K7" i="6"/>
  <c r="J7" i="6"/>
  <c r="I7" i="6"/>
  <c r="H7" i="6"/>
  <c r="L6" i="6"/>
  <c r="K6" i="6"/>
  <c r="J6" i="6"/>
  <c r="I6" i="6"/>
  <c r="H6" i="6"/>
  <c r="L5" i="6"/>
  <c r="K5" i="6"/>
  <c r="J5" i="6"/>
  <c r="I5" i="6"/>
  <c r="H5" i="6"/>
  <c r="L4" i="6"/>
  <c r="K4" i="6"/>
  <c r="J4" i="6"/>
  <c r="I4" i="6"/>
  <c r="H4" i="6"/>
  <c r="L3" i="6"/>
  <c r="K3" i="6"/>
  <c r="J3" i="6"/>
  <c r="I3" i="6"/>
  <c r="H3" i="6"/>
  <c r="C3" i="6"/>
  <c r="F12" i="6"/>
  <c r="E12" i="6"/>
  <c r="D12" i="6"/>
  <c r="C12" i="6"/>
  <c r="B12" i="6"/>
  <c r="F11" i="6"/>
  <c r="E11" i="6"/>
  <c r="D11" i="6"/>
  <c r="C11" i="6"/>
  <c r="B11" i="6"/>
  <c r="F10" i="6"/>
  <c r="E10" i="6"/>
  <c r="D10" i="6"/>
  <c r="C10" i="6"/>
  <c r="B10" i="6"/>
  <c r="F9" i="6"/>
  <c r="E9" i="6"/>
  <c r="D9" i="6"/>
  <c r="C9" i="6"/>
  <c r="B9" i="6"/>
  <c r="F8" i="6"/>
  <c r="E8" i="6"/>
  <c r="D8" i="6"/>
  <c r="C8" i="6"/>
  <c r="B8" i="6"/>
  <c r="F7" i="6"/>
  <c r="E7" i="6"/>
  <c r="D7" i="6"/>
  <c r="C7" i="6"/>
  <c r="B7" i="6"/>
  <c r="F6" i="6"/>
  <c r="E6" i="6"/>
  <c r="D6" i="6"/>
  <c r="C6" i="6"/>
  <c r="B6" i="6"/>
  <c r="F5" i="6"/>
  <c r="E5" i="6"/>
  <c r="D5" i="6"/>
  <c r="C5" i="6"/>
  <c r="B5" i="6"/>
  <c r="F4" i="6"/>
  <c r="E4" i="6"/>
  <c r="D4" i="6"/>
  <c r="C4" i="6"/>
  <c r="B4" i="6"/>
  <c r="F3" i="6"/>
  <c r="E3" i="6"/>
  <c r="D3" i="6"/>
  <c r="B3" i="6"/>
  <c r="B3" i="5"/>
  <c r="B65" i="5"/>
  <c r="C65" i="5"/>
  <c r="D65" i="5"/>
  <c r="E65" i="5"/>
  <c r="F65" i="5"/>
  <c r="B66" i="5"/>
  <c r="C66" i="5"/>
  <c r="D66" i="5"/>
  <c r="E66" i="5"/>
  <c r="F66" i="5"/>
  <c r="F64" i="5"/>
  <c r="E64" i="5"/>
  <c r="D64" i="5"/>
  <c r="C64" i="5"/>
  <c r="B64" i="5"/>
  <c r="B48" i="5"/>
  <c r="C48" i="5"/>
  <c r="D48" i="5"/>
  <c r="E48" i="5"/>
  <c r="F48" i="5"/>
  <c r="B49" i="5"/>
  <c r="C49" i="5"/>
  <c r="D49" i="5"/>
  <c r="E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F62" i="5"/>
  <c r="F47" i="5"/>
  <c r="E47" i="5"/>
  <c r="D47" i="5"/>
  <c r="C47" i="5"/>
  <c r="B4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F27" i="5"/>
  <c r="E27" i="5"/>
  <c r="D27" i="5"/>
  <c r="C27" i="5"/>
  <c r="B27" i="5"/>
  <c r="E18" i="5"/>
  <c r="B15" i="5"/>
  <c r="C15" i="5"/>
  <c r="D15" i="5"/>
  <c r="E15" i="5"/>
  <c r="F15" i="5"/>
  <c r="B16" i="5"/>
  <c r="C16" i="5"/>
  <c r="D16" i="5"/>
  <c r="E16" i="5"/>
  <c r="F16" i="5"/>
  <c r="B17" i="5"/>
  <c r="C17" i="5"/>
  <c r="D17" i="5"/>
  <c r="E17" i="5"/>
  <c r="F17" i="5"/>
  <c r="B18" i="5"/>
  <c r="C18" i="5"/>
  <c r="D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F14" i="5"/>
  <c r="E14" i="5"/>
  <c r="D14" i="5"/>
  <c r="C14" i="5"/>
  <c r="B14" i="5"/>
  <c r="B4" i="5"/>
  <c r="C4" i="5"/>
  <c r="D4" i="5"/>
  <c r="E4" i="5"/>
  <c r="F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F3" i="5"/>
  <c r="E3" i="5"/>
  <c r="D3" i="5"/>
  <c r="C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tc={7EB0F565-1AFC-44DB-8202-8E0ACD5D6214}</author>
    <author>tc={706E1D55-780C-4F15-B439-A9C308D2412E}</author>
    <author>tc={0B7C1F06-694D-4BD5-8629-30C7F5D0459C}</author>
    <author>tc={1217FB01-2D82-4886-B4A8-2EC83C2CEDB8}</author>
    <author>tc={83686874-BDAF-4D84-AC79-A71A3923A57E}</author>
    <author>tc={F4E33246-ED95-4D24-99B3-9C02BF99C81E}</author>
    <author>tc={9EF50456-5E99-412B-AE60-C08CD38CDE22}</author>
  </authors>
  <commentList>
    <comment ref="M1" authorId="0" shapeId="0" xr:uid="{7EB0F565-1AFC-44DB-8202-8E0ACD5D6214}">
      <text>
        <t xml:space="preserve">[Threaded comment]
Your version of Excel allows you to read this threaded comment; however, any edits to it will get removed if the file is opened in a newer version of Excel. Learn more: https://go.microsoft.com/fwlink/?linkid=870924
Comment:
    in library </t>
      </text>
    </comment>
    <comment ref="D2" authorId="1" shapeId="0" xr:uid="{706E1D55-780C-4F15-B439-A9C308D2412E}">
      <text>
        <t xml:space="preserve">[Threaded comment]
Your version of Excel allows you to read this threaded comment; however, any edits to it will get removed if the file is opened in a newer version of Excel. Learn more: https://go.microsoft.com/fwlink/?linkid=870924
Comment:
    D+ Local Rounds don't align with D+ Main so I have aligned for sake on analysis: D+ Local round 1 captured in parallel to other D+ schemes in Round 11. D+ Local Round 2 (and 3 but they didn't report yet) captured in parallel to D+ schemes in Round 12.  </t>
      </text>
    </comment>
    <comment ref="A17" authorId="2" shapeId="0" xr:uid="{0B7C1F06-694D-4BD5-8629-30C7F5D0459C}">
      <text>
        <t xml:space="preserve">[Threaded comment]
Your version of Excel allows you to read this threaded comment; however, any edits to it will get removed if the file is opened in a newer version of Excel. Learn more: https://go.microsoft.com/fwlink/?linkid=870924
Comment:
    Reports for projects in yellow are in different location: in library </t>
      </text>
    </comment>
    <comment ref="M64" authorId="3" shapeId="0" xr:uid="{1217FB01-2D82-4886-B4A8-2EC83C2CEDB8}">
      <text>
        <t>[Threaded comment]
Your version of Excel allows you to read this threaded comment; however, any edits to it will get removed if the file is opened in a newer version of Excel. Learn more: https://go.microsoft.com/fwlink/?linkid=870924
Comment:
    Project did not report against SIs noting "project developed prior to standard indicators (Round 9)"</t>
      </text>
    </comment>
    <comment ref="M68" authorId="4" shapeId="0" xr:uid="{83686874-BDAF-4D84-AC79-A71A3923A57E}">
      <text>
        <t>[Threaded comment]
Your version of Excel allows you to read this threaded comment; however, any edits to it will get removed if the file is opened in a newer version of Excel. Learn more: https://go.microsoft.com/fwlink/?linkid=870924
Comment:
    DPLUS131 did not report against SIs</t>
      </text>
    </comment>
    <comment ref="M83" authorId="5" shapeId="0" xr:uid="{F4E33246-ED95-4D24-99B3-9C02BF99C81E}">
      <text>
        <t>[Threaded comment]
Your version of Excel allows you to read this threaded comment; however, any edits to it will get removed if the file is opened in a newer version of Excel. Learn more: https://go.microsoft.com/fwlink/?linkid=870924
Comment:
    Not sure they have understood as examples included...may apply to others as lots of light reporting on D+
Reply:
    Yeah a couple of other have done this - have commented where necessary</t>
      </text>
    </comment>
    <comment ref="L97" authorId="6" shapeId="0" xr:uid="{9EF50456-5E99-412B-AE60-C08CD38CDE22}">
      <text>
        <t>[Threaded comment]
Your version of Excel allows you to read this threaded comment; however, any edits to it will get removed if the file is opened in a newer version of Excel. Learn more: https://go.microsoft.com/fwlink/?linkid=870924
Comment:
    Submitted AR in April, FR due in Sept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tc={B3E7607A-8B52-4132-917C-9D5164A14AAA}</author>
  </authors>
  <commentList>
    <comment ref="N1" authorId="0" shapeId="0" xr:uid="{B3E7607A-8B52-4132-917C-9D5164A14AAA}">
      <text>
        <t>[Threaded comment]
Your version of Excel allows you to read this threaded comment; however, any edits to it will get removed if the file is opened in a newer version of Excel. Learn more: https://go.microsoft.com/fwlink/?linkid=870924
Comment:
    Number of projects reporting in each round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<sst xmlns="http://schemas.openxmlformats.org/spreadsheetml/2006/main" count="8657" uniqueCount="865">
  <si>
    <t>Contents</t>
  </si>
  <si>
    <t>Summary</t>
  </si>
  <si>
    <t>Aggregated reporting against the Standard Indicators</t>
  </si>
  <si>
    <t>Funding</t>
  </si>
  <si>
    <t>Overview of grants dispursed, matched and mobilised funding</t>
  </si>
  <si>
    <t>Gender</t>
  </si>
  <si>
    <t>Proportions of projects with women in leadership</t>
  </si>
  <si>
    <t>Reporting</t>
  </si>
  <si>
    <t>Overview of projects reporting against Standard Indicators</t>
  </si>
  <si>
    <t>Indicators</t>
  </si>
  <si>
    <t>The number of times each indicator was reported on by year and round</t>
  </si>
  <si>
    <t>Indicators not reported against</t>
  </si>
  <si>
    <t>List of Standard Indicators which were not reported against</t>
  </si>
  <si>
    <t>Targets</t>
  </si>
  <si>
    <t>Targets for 2023/24 and 2024/25</t>
  </si>
  <si>
    <t>Explainer on targets</t>
  </si>
  <si>
    <t>Rationale for target estimation as reflected in formula used in 'Targets'</t>
  </si>
  <si>
    <t>VfM</t>
  </si>
  <si>
    <t>Tool to assess relative value for money across portfolio</t>
  </si>
  <si>
    <t>Summary of projects included in the October 2024 Synthesis</t>
  </si>
  <si>
    <t>Category</t>
  </si>
  <si>
    <t>Number of projects</t>
  </si>
  <si>
    <t>Total value of grants</t>
  </si>
  <si>
    <t>Total value of matched funding to date</t>
  </si>
  <si>
    <t>Total value of planned matched funding</t>
  </si>
  <si>
    <t>Total value of mobilised funding to date</t>
  </si>
  <si>
    <t>Total value of planned mobilised funding</t>
  </si>
  <si>
    <t>Projects expected to report</t>
  </si>
  <si>
    <t xml:space="preserve">   of which ARs</t>
  </si>
  <si>
    <t xml:space="preserve">   of which FRs</t>
  </si>
  <si>
    <t>Projects with data included herein</t>
  </si>
  <si>
    <t>Matched funding ratios</t>
  </si>
  <si>
    <t>By funding round</t>
  </si>
  <si>
    <t>By report type</t>
  </si>
  <si>
    <t>AR1</t>
  </si>
  <si>
    <t>AR2</t>
  </si>
  <si>
    <t>AR3</t>
  </si>
  <si>
    <t>AR4</t>
  </si>
  <si>
    <t>AR total</t>
  </si>
  <si>
    <t>FR</t>
  </si>
  <si>
    <t>Proportion of projects reporting</t>
  </si>
  <si>
    <t>By number of projects</t>
  </si>
  <si>
    <t>By grant value</t>
  </si>
  <si>
    <t>Timeframes of projects included in reporting</t>
  </si>
  <si>
    <t>Earliest</t>
  </si>
  <si>
    <t>Latest</t>
  </si>
  <si>
    <t>Start date range</t>
  </si>
  <si>
    <t>End date range</t>
  </si>
  <si>
    <t>Notes and limitations</t>
  </si>
  <si>
    <t>Under-reporting among projects for Women and Indigenous disaggregations</t>
  </si>
  <si>
    <t>Planned figures reflect the targets set by projects initially. Some projects surpass their initial targets, even in their first and second years</t>
  </si>
  <si>
    <t xml:space="preserve">Under-reporting from Rounds 8 and 9 stems from many of these projects being in their final year. The majority of FRs for these projects were not submitted when data entry for this years' synthesis was conducted. </t>
  </si>
  <si>
    <t xml:space="preserve">Included in this synthesis are all projects who reported against Standard Indicators in their 2024 Annual Review. All data included here was input in June and July 2024, and therefore does not include data for projects that: 1. Had not yet submitted their FR; OR 2. Had not yet submitted their AR OR 3. Did not report against standard indicators in their annual review. </t>
  </si>
  <si>
    <t xml:space="preserve">The Projection tab is in common with the DPLUS Business Case made available to Defra earlier in August 2024. We included this here for posterity. This includes data from 2023 and 2024 Syntheses. Therefore, it includes information from projects that: 1. Have concluded since 2023 AND 2. May not have reported in 2024 (see note 4 above) AND 3. Concluded in 2024 (see note 3 above). </t>
  </si>
  <si>
    <t>To date figures reflect achievements to date, so will not include the yet-to-be-realised benefits of projects, especially those in their first and second years</t>
  </si>
  <si>
    <t>Projects with no data:</t>
  </si>
  <si>
    <t>DPLUS102</t>
  </si>
  <si>
    <t>Saving Tristan’s only native tree and its associated unique buntings</t>
  </si>
  <si>
    <t>DPLUS112</t>
  </si>
  <si>
    <t>Capacity building in fisheries evidence, networks and management (Virgin Islands)</t>
  </si>
  <si>
    <t>DPLUS118</t>
  </si>
  <si>
    <t>BVI Amphibian Conservation Programme</t>
  </si>
  <si>
    <t>DPLUS120</t>
  </si>
  <si>
    <t>Spatial segregation and bycatch risk of seabirds at South Georgia</t>
  </si>
  <si>
    <t>DPLUS121</t>
  </si>
  <si>
    <t>Strengthening biosecurity to protect Turks &amp; Caicos’ Iguana Islands</t>
  </si>
  <si>
    <t>DPLUS127</t>
  </si>
  <si>
    <t>Improving reef resilience through sustainable fishery management on Diego Garcia</t>
  </si>
  <si>
    <t>DPLUS128</t>
  </si>
  <si>
    <t>Safeguarding Cayman’s sister islands from invasive species</t>
  </si>
  <si>
    <t>DPLUS129</t>
  </si>
  <si>
    <t>Understanding Ramsar wetland dynamics for marine conservation and environmental resilience</t>
  </si>
  <si>
    <t>DPLUS130</t>
  </si>
  <si>
    <t>Sustainable sargassum management in Anguilla, British Virgin Islands and Montserrat</t>
  </si>
  <si>
    <t>DPLUS131</t>
  </si>
  <si>
    <t>A ¨B-Line¨ to Re-wilding: Anguilla's Pollinators Project</t>
  </si>
  <si>
    <t>DPLUS134</t>
  </si>
  <si>
    <t>Repelling the invader: turning the tide on Ascension’s Mexican thorn</t>
  </si>
  <si>
    <t>DPLUS135</t>
  </si>
  <si>
    <t>From pseudoscorpions to crickets: securing Ascensions Island’s unique invertebrates</t>
  </si>
  <si>
    <t>DPLUS136</t>
  </si>
  <si>
    <t>Anguilla Shark Conservation: social acceptance, spatial protection and legislative reform</t>
  </si>
  <si>
    <t>DPLUS140</t>
  </si>
  <si>
    <t>Assessment and conservation of Cayman Islands’ deep-water reefs and fishes</t>
  </si>
  <si>
    <t>DPLUS141</t>
  </si>
  <si>
    <t>Habitat restoration and wise use for Akrotiri and Cape Pyla</t>
  </si>
  <si>
    <t>DPLUS142</t>
  </si>
  <si>
    <t>Bathymetry, and seafloor habitats within Ascension Island’s nearshore waters</t>
  </si>
  <si>
    <t>DPLUS143</t>
  </si>
  <si>
    <t>What goes thump at night: managing bird-strike in South Georgia</t>
  </si>
  <si>
    <t>DPLUS144</t>
  </si>
  <si>
    <t>Protecting South Georgia’s terrestrial communities from climate change-invasion synergies</t>
  </si>
  <si>
    <t>DPLUS147</t>
  </si>
  <si>
    <t>Collaborative approach to managing coral disease in UK Overseas Territories</t>
  </si>
  <si>
    <t>DPLUS148</t>
  </si>
  <si>
    <t>Climate change resilience in Falkland Islands fisheries and marine ecosystems</t>
  </si>
  <si>
    <t>DPLUS149</t>
  </si>
  <si>
    <t>Resolving ecosystem effects of the South Georgia winter krill fishery</t>
  </si>
  <si>
    <t>DPLUS151</t>
  </si>
  <si>
    <t>Building knowledge on invasive non-native species in Diego Garcia</t>
  </si>
  <si>
    <t>DPLUS153</t>
  </si>
  <si>
    <t>Conserving tropical marine ecosystems in TCI through science-based fisheries management</t>
  </si>
  <si>
    <t>DPLUS154</t>
  </si>
  <si>
    <t>Sustainable management planning for St Helena's National Conservation Areas</t>
  </si>
  <si>
    <t>DPLUS155</t>
  </si>
  <si>
    <t>Securing Montserrat’s threatened endemic species and natural capital through community-action</t>
  </si>
  <si>
    <t>DPLUS157</t>
  </si>
  <si>
    <t>Managing the pathogens threatening St Helena’s biodiversity and food security</t>
  </si>
  <si>
    <t>DPLUS158</t>
  </si>
  <si>
    <t>Piloting a new solution for invasive species in UKOTs</t>
  </si>
  <si>
    <t>DPLUS164</t>
  </si>
  <si>
    <t>Conservation Actions for Seabirds on the Turks and Caicos Cays</t>
  </si>
  <si>
    <t>DPLUS167</t>
  </si>
  <si>
    <t>Pathogens as a threat to seabirds in the Falkland Islands</t>
  </si>
  <si>
    <t>DPLUS168</t>
  </si>
  <si>
    <t>Understanding increased FI seal bycatch to inform bycatch Action Plan</t>
  </si>
  <si>
    <t>DPLUS169</t>
  </si>
  <si>
    <t>New Island: completing preparatory steps for restoration against invasive mammals</t>
  </si>
  <si>
    <t>DPLUS180</t>
  </si>
  <si>
    <t>Integrating climate change resilience into protected area design and management</t>
  </si>
  <si>
    <t>DPLUS181</t>
  </si>
  <si>
    <t>East Caicos Wilderness Area: Protecting the Caribbean's largest uninhabited island</t>
  </si>
  <si>
    <t>DPL00005</t>
  </si>
  <si>
    <t>Expanding the ex-situ propagation project for Cayman’s Dendrophylax Ghost Orchid</t>
  </si>
  <si>
    <t>DPL00016</t>
  </si>
  <si>
    <t>Conservation Fieldwork Mobility Support for North and Middle Caicos</t>
  </si>
  <si>
    <t>DPL00027</t>
  </si>
  <si>
    <t>iRecord St Helena: wildlife recording for research, education and decision-making</t>
  </si>
  <si>
    <t>DPL00034</t>
  </si>
  <si>
    <t>Green Space Creation on Montserrat</t>
  </si>
  <si>
    <t>DPL00043</t>
  </si>
  <si>
    <t>Caribbean flamingos as a flagship species for wetlands conservation</t>
  </si>
  <si>
    <t>DPLUS187</t>
  </si>
  <si>
    <t>Using satellite technology to monitor seabird populations at South Georgia</t>
  </si>
  <si>
    <t>DPLUS188</t>
  </si>
  <si>
    <t>Hungry humpbacks: measuring seasonal foraging intensity at South Georgia</t>
  </si>
  <si>
    <t>DPL00048</t>
  </si>
  <si>
    <t>Native Plant Nurseries Refurbishments for Habitat Restoration and Climate-Friendly Landscapes</t>
  </si>
  <si>
    <t>DPL00053</t>
  </si>
  <si>
    <t>Emergency Recovery Plan for the world's rarest coral, Ctenella chagius</t>
  </si>
  <si>
    <t>DPL00054</t>
  </si>
  <si>
    <t>Can crushed recycled glass help solve environmental problems in Cayman</t>
  </si>
  <si>
    <t xml:space="preserve">Last Updated </t>
  </si>
  <si>
    <t>Group</t>
  </si>
  <si>
    <t>Ref</t>
  </si>
  <si>
    <t>Indicator</t>
  </si>
  <si>
    <t>All projects reporting, full lifecycle</t>
  </si>
  <si>
    <t>Results achieved during 2023/24 reporting period</t>
  </si>
  <si>
    <t>Time series</t>
  </si>
  <si>
    <t>Number of projects that reported</t>
  </si>
  <si>
    <t>Figures to date</t>
  </si>
  <si>
    <t>Planned figures</t>
  </si>
  <si>
    <t>Grand totals</t>
  </si>
  <si>
    <t>Of whom women</t>
  </si>
  <si>
    <t>Projects</t>
  </si>
  <si>
    <t>Target For the Year</t>
  </si>
  <si>
    <t>Results for Year</t>
  </si>
  <si>
    <t>Of whom men</t>
  </si>
  <si>
    <t>2022/23</t>
  </si>
  <si>
    <t>2023/24</t>
  </si>
  <si>
    <t>% of target</t>
  </si>
  <si>
    <t>% change</t>
  </si>
  <si>
    <t>Comments for Annual Report</t>
  </si>
  <si>
    <t>A</t>
  </si>
  <si>
    <t>DPLUS-A01</t>
  </si>
  <si>
    <t>Number of people from key national and local stakeholders completing structured and relevant training</t>
  </si>
  <si>
    <t xml:space="preserve">PEHR: 40 DPLUS projects working towards this indicator; 22 reporting a result this year. A further 23 DPLUS Local projects reported against this. In 2022/23, DPLUS130 reported 259 people completing training - this was &gt;1/3 of the other total from other reporting projects in the same period. This inflated the result for the 2022/23 period, but is a fully substantiated, if larger, result. </t>
  </si>
  <si>
    <t>DPLUS-A02</t>
  </si>
  <si>
    <t>Number of secondments or placements completed by individuals of key local and national stakeholders</t>
  </si>
  <si>
    <t>DPLUS-A03</t>
  </si>
  <si>
    <t>Number of local/national organisations with improved capability and capacity as a result of project.</t>
  </si>
  <si>
    <t>DPLUS-A04</t>
  </si>
  <si>
    <t>Number of people reporting that they are applying new capabilities(skills and knowledge) 6 (or more) months after training</t>
  </si>
  <si>
    <t xml:space="preserve">PEHR: 14 DPLUS projects working towards this indicator; 5 reporting a result this year. A further 2 DPLUS Local projects reported against this. Target was exceeded for the current reporting period. In the previous reporting period, 2022/23, IWT164 reported 97 people applying new capabilities - three times the combined result of the 4 other reporting projects. This inflated the result for the 2022/23 period, but is a fully substantiated, if larger, result. </t>
  </si>
  <si>
    <t>DPLUS-A05</t>
  </si>
  <si>
    <t>Number of trainers trained reporting to have delivered further training by the end of the project.</t>
  </si>
  <si>
    <t xml:space="preserve">PEHR: 2 DPLUS projects working towards this indicator; 1 reporting a result this year, compared to three in the previous reporting period. Target for year met, but deviation from previous years reporting. </t>
  </si>
  <si>
    <t>DPLUS-A06</t>
  </si>
  <si>
    <t>Number of people with improved access to services or infrastructure for improved well-being</t>
  </si>
  <si>
    <t>DPLUS-A07</t>
  </si>
  <si>
    <t>Number of government institutions/departments with enhanced awareness and understanding of biodiversity and associated poverty issues</t>
  </si>
  <si>
    <t>DPLUS-A10</t>
  </si>
  <si>
    <t>Proportion sustainable livelihood enterprises established that are functioning at project end (at least a year after establishment)</t>
  </si>
  <si>
    <t>DPLUS-A11</t>
  </si>
  <si>
    <t>Number of sustainable livelihood enterprises that are profitable (at least a year after establishment)</t>
  </si>
  <si>
    <t>DPLUS-A12</t>
  </si>
  <si>
    <t>Annual turnover of established sustainable livelihood enterprises in the project’s final year</t>
  </si>
  <si>
    <t>B</t>
  </si>
  <si>
    <t>DPLUS-B01</t>
  </si>
  <si>
    <t>Number of new/improved habitat management plans available and endorsed</t>
  </si>
  <si>
    <t>DPLUS-B02</t>
  </si>
  <si>
    <t>Number of new/improved species management plans available and endorsed</t>
  </si>
  <si>
    <t>DPLUS-B03</t>
  </si>
  <si>
    <t>Number of new/improved community management plans available and endorsed</t>
  </si>
  <si>
    <t xml:space="preserve">PEHR: Two projects reporting against this SI in the current period. DPLUS111 notes in their FR that their result is pending so cannot record as achieved yet. DPLUS175 appears to have mis-reported against this SI as the wording of the indicator in AR3 doesn't make sense in the context of DPLUS-B03. In the 2022/23 reporting period, one project reporting against this indicator, having produced 10 management plans. This result was fully validated at the time.  </t>
  </si>
  <si>
    <t>DPLUS-B04</t>
  </si>
  <si>
    <t>Number of new/improved sustainable livelihoods/ poverty reduction management plans available and endorsed</t>
  </si>
  <si>
    <t>DPLUS-B05</t>
  </si>
  <si>
    <t>Number of people with increased participation in local communities / local management organisations (i.e., participation in Governance/citizen engagement).</t>
  </si>
  <si>
    <t>DPLUS-B06</t>
  </si>
  <si>
    <t>Number of Indigenous Peoples and Local Communities (people) with strengthened (recognised/clarified) tenure and/or rights</t>
  </si>
  <si>
    <t>DPLUS-B07</t>
  </si>
  <si>
    <t>Number of people participating in community-based management groups and/or Payment for Ecosystem Service schemes</t>
  </si>
  <si>
    <t>DPLUS-B08</t>
  </si>
  <si>
    <t>Volume of internationally traded products complying with sustainability standards</t>
  </si>
  <si>
    <t>DPLUS-B09</t>
  </si>
  <si>
    <t>Number of individuals / households reporting a decrease in unsustainable practices as a result of project activities</t>
  </si>
  <si>
    <t>DPLUS-B10</t>
  </si>
  <si>
    <t>Number of individuals / households reporting an adoption of livelihood improvement practices as a result of project activities</t>
  </si>
  <si>
    <t xml:space="preserve">PEHR: Only one project notes that it's working towards this indicator and this the same as the project which reported in the 2022/23 period - DPLUS-153. </t>
  </si>
  <si>
    <t>DPLUS-B11</t>
  </si>
  <si>
    <t>Area identified as important for biodiversity</t>
  </si>
  <si>
    <t>DPLUS-B12</t>
  </si>
  <si>
    <t>Number of policies developed or formally contributed to by projects and being implemented by appropriate authorities</t>
  </si>
  <si>
    <t>C</t>
  </si>
  <si>
    <t>DPLUS-C01</t>
  </si>
  <si>
    <t>Number of best practice guides and knowledge products published and endorsed</t>
  </si>
  <si>
    <t>DPLUS-C02</t>
  </si>
  <si>
    <t>Number of new conservation or species stock assessments published</t>
  </si>
  <si>
    <t>DPLUS-C03</t>
  </si>
  <si>
    <t>New assessments of habitat conservation action needs published</t>
  </si>
  <si>
    <t>DPLUS-C04</t>
  </si>
  <si>
    <t>New assessments of community use of biodiversity resources published</t>
  </si>
  <si>
    <t>DPLUS-C05</t>
  </si>
  <si>
    <t>Number of projects contributing data, insights, and case studies to national Multilateral Environmental Agreements (MEAs) related reporting processes and calls for evidence</t>
  </si>
  <si>
    <t>DPLUS-C06</t>
  </si>
  <si>
    <t>Number of downloads of new peer reviewed publications</t>
  </si>
  <si>
    <t>DPLUS-C07</t>
  </si>
  <si>
    <t>Number of projects contributing biodiversity conservation or poverty reduction evidence to policy/regulation/standards consultations</t>
  </si>
  <si>
    <t xml:space="preserve">PEHR: Three projects reporting; none recorded a result in the current period. </t>
  </si>
  <si>
    <t>DPLUS-C08</t>
  </si>
  <si>
    <t>Areas of importance for biodiversity identified</t>
  </si>
  <si>
    <t>DPLUS-C09</t>
  </si>
  <si>
    <t>Species reference collections made (known to science, new to science)</t>
  </si>
  <si>
    <t>DPLUS-C10</t>
  </si>
  <si>
    <t>Number of case studies published</t>
  </si>
  <si>
    <t>DPLUS-C11</t>
  </si>
  <si>
    <t>Average monthly number of Website Visitors</t>
  </si>
  <si>
    <t>DPLUS-C12</t>
  </si>
  <si>
    <t>Social Media presence</t>
  </si>
  <si>
    <t>DPLUS-C13</t>
  </si>
  <si>
    <t>Number of webinar attendees</t>
  </si>
  <si>
    <t xml:space="preserve">PEHR: In the previous reporting period, one project DPLUS-167 reported 356 attendees - this made up 87% of the total for 2022/23. In the current reporting period, DPLUS-167 was one of two projects that reported, noting 56 attendees, 92% of the total. These results are all fully validated. </t>
  </si>
  <si>
    <t>DPLUS-C14</t>
  </si>
  <si>
    <t>Number of decision-makers attending briefing events</t>
  </si>
  <si>
    <t>DPLUS-C15</t>
  </si>
  <si>
    <t>Number of Media related activities</t>
  </si>
  <si>
    <t>DPLUS-C16</t>
  </si>
  <si>
    <t>Number of records added to accessible databases</t>
  </si>
  <si>
    <t xml:space="preserve">PEHR: In the previous reporting period, one project DPLUS-155 reported 3000 records added to a database - this made up 100% of the total for 2022/23. This was a fully substantiated result; however, it inflated the target used for the current reporting year. </t>
  </si>
  <si>
    <t>DPLUS-C17</t>
  </si>
  <si>
    <t>Number of unique papers submitted to peer reviewed journals</t>
  </si>
  <si>
    <t>DPLUS-C18</t>
  </si>
  <si>
    <t>Number of papers published in peer reviewed journals</t>
  </si>
  <si>
    <t>DPLUS-C19</t>
  </si>
  <si>
    <t>Number of other publications produced</t>
  </si>
  <si>
    <t>D</t>
  </si>
  <si>
    <t>DPLUS-D01</t>
  </si>
  <si>
    <t>Hectares of habitat under sustainable management practices</t>
  </si>
  <si>
    <t>DPLUS-D02</t>
  </si>
  <si>
    <t>Number of people whose disaster/climate resilience has been improved</t>
  </si>
  <si>
    <t>DPLUS-D03</t>
  </si>
  <si>
    <t>Number of policies with biodiversity provisions that have been enacted or amended</t>
  </si>
  <si>
    <t>DPLUS-D04</t>
  </si>
  <si>
    <t>Stabilised/ improved species population (relative abundance/ distribution) within the project area</t>
  </si>
  <si>
    <t>DPLUS-D05</t>
  </si>
  <si>
    <t>Number of people supported to better adapt to climate change as a result of the project [ICF KPI]</t>
  </si>
  <si>
    <t>DPLUS-D06</t>
  </si>
  <si>
    <t>Net change in greenhouse gas emissions – tonnes of GHG emissions reduced or avoided as a result of the project [ICF KPI 6]</t>
  </si>
  <si>
    <t>DPLUS-D07</t>
  </si>
  <si>
    <t>Carbon Sequestered/Removed</t>
  </si>
  <si>
    <t>DPLUS-D08</t>
  </si>
  <si>
    <t>Value of ecosystem services generated or protected as a result of project support [ICF KPI 10].</t>
  </si>
  <si>
    <t>DPLUS-D09</t>
  </si>
  <si>
    <t>Number of hectares where deforestation has been avoided through project support [ICF KPI]</t>
  </si>
  <si>
    <t>DPLUS-D10</t>
  </si>
  <si>
    <t>Area of improved sustainable agriculture practices benefitting people to be more resilient to weather shocks and climate trends</t>
  </si>
  <si>
    <t>DPLUS-D11</t>
  </si>
  <si>
    <t>Number of people benefitting from improved sustainable agriculture practices and are more resilient to weather shocks and climate trends</t>
  </si>
  <si>
    <t>DPLUS-D12</t>
  </si>
  <si>
    <t>Area of degraded or converted ecosystems that are under active restoration</t>
  </si>
  <si>
    <t>DPLUS-D15</t>
  </si>
  <si>
    <t>Net change in incidences of human wildlife conflict</t>
  </si>
  <si>
    <t>DPLUS-D16</t>
  </si>
  <si>
    <t>Number of households reporting improved livelihoods</t>
  </si>
  <si>
    <t>DPLUS-D17</t>
  </si>
  <si>
    <t>Income derived by local communities from new/enhanced Payment for Ecosystem Services</t>
  </si>
  <si>
    <t>DPLUS-D18</t>
  </si>
  <si>
    <t>Drivers of biodiversity loss assessed to have been reduced or removed</t>
  </si>
  <si>
    <t>E</t>
  </si>
  <si>
    <t>DPLUS-E01</t>
  </si>
  <si>
    <t>Ecosystem Degradation Avoided (ha) (DEFRA / ICF KPI 8)</t>
  </si>
  <si>
    <t>DPLUS-E02</t>
  </si>
  <si>
    <t>Change in multi-dimensional poverty Scorecard (to be developed)</t>
  </si>
  <si>
    <t>DPLUS-E03</t>
  </si>
  <si>
    <t>Status of Threatened Species (DEFRA KPI)</t>
  </si>
  <si>
    <t>Project Ref</t>
  </si>
  <si>
    <t>Round</t>
  </si>
  <si>
    <t>Grant Value</t>
  </si>
  <si>
    <t>Matched</t>
  </si>
  <si>
    <t>Grant: Matched Ratio</t>
  </si>
  <si>
    <t>Mobilised</t>
  </si>
  <si>
    <t>Grant: Mobilised Ratio</t>
  </si>
  <si>
    <t>To date</t>
  </si>
  <si>
    <t>Planned</t>
  </si>
  <si>
    <t>DPLUS114</t>
  </si>
  <si>
    <t>DPLUS125</t>
  </si>
  <si>
    <t>DPLUS126</t>
  </si>
  <si>
    <t>DPLUS137</t>
  </si>
  <si>
    <t>DPLUS159</t>
  </si>
  <si>
    <t>DPLUS160</t>
  </si>
  <si>
    <t>DPLUS161</t>
  </si>
  <si>
    <t>DPLUS162</t>
  </si>
  <si>
    <t>DPLUS163</t>
  </si>
  <si>
    <t>DPLUS165</t>
  </si>
  <si>
    <t>DPLUS166</t>
  </si>
  <si>
    <t>DPLUS174</t>
  </si>
  <si>
    <t>DPLUS175</t>
  </si>
  <si>
    <t>DPLUS176</t>
  </si>
  <si>
    <t>DPLUS177</t>
  </si>
  <si>
    <t>DPLUS178</t>
  </si>
  <si>
    <t>DPLUS179</t>
  </si>
  <si>
    <t>DPLUS182</t>
  </si>
  <si>
    <t>DPLUS183</t>
  </si>
  <si>
    <t>DPLUS184</t>
  </si>
  <si>
    <t>DPLUS185</t>
  </si>
  <si>
    <t>DPLUS186</t>
  </si>
  <si>
    <t>DPLUS189</t>
  </si>
  <si>
    <t>DPLUS190</t>
  </si>
  <si>
    <t>DPLUS191</t>
  </si>
  <si>
    <t>DPLUS192</t>
  </si>
  <si>
    <t>DPLUS195</t>
  </si>
  <si>
    <t>DPLUS196</t>
  </si>
  <si>
    <t>Reference</t>
  </si>
  <si>
    <t>Title</t>
  </si>
  <si>
    <t>Gender: Proportion of projects led by women</t>
  </si>
  <si>
    <t>Project Title</t>
  </si>
  <si>
    <t>Capability and Capacity</t>
  </si>
  <si>
    <t>Policies, Practices and Management</t>
  </si>
  <si>
    <t>Evidence and Best Practices</t>
  </si>
  <si>
    <t>Sustainable Livelihoods, Biodiversity and Climate Resilience</t>
  </si>
  <si>
    <t>Impact on Biodiversity and Poverty</t>
  </si>
  <si>
    <t>Total number of reports per project</t>
  </si>
  <si>
    <t>A01</t>
  </si>
  <si>
    <t>A02</t>
  </si>
  <si>
    <t>A03</t>
  </si>
  <si>
    <t>A04</t>
  </si>
  <si>
    <t>A05</t>
  </si>
  <si>
    <t>A06</t>
  </si>
  <si>
    <t>A07</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</si>
  <si>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</si>
  <si>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</si>
  <si>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</si>
  <si>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</si>
  <si>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</si>
  <si>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</si>
  <si>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</si>
  <si>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</si>
  <si>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</si>
  <si>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</si>
  <si>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</si>
  <si>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</si>
  <si>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</si>
  <si>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</si>
  <si>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</si>
  <si>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</si>
  <si>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</si>
  <si>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</si>
  <si>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</si>
  <si>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</si>
  <si>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</si>
  <si>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</si>
  <si>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</si>
  <si>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</si>
  <si>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</si>
  <si>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</si>
  <si>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</si>
  <si>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C13</t>
  </si>
  <si>
    <t>C14</t>
  </si>
  <si>
    <t>C15</t>
  </si>
  <si>
    <t>C16</t>
  </si>
  <si>
    <t>C17</t>
  </si>
  <si>
    <t>C18</t>
  </si>
  <si>
    <t>C19</t>
  </si>
  <si>
    <t>D01</t>
  </si>
  <si>
    <t>D02</t>
  </si>
  <si>
    <t>D03</t>
  </si>
  <si>
    <t>D04</t>
  </si>
  <si>
    <t>D05</t>
  </si>
  <si>
    <t>D06</t>
  </si>
  <si>
    <t>D07</t>
  </si>
  <si>
    <t>D08</t>
  </si>
  <si>
    <t>D09</t>
  </si>
  <si>
    <t>D10</t>
  </si>
  <si>
    <t>D11</t>
  </si>
  <si>
    <t>D12</t>
  </si>
  <si>
    <t>D15</t>
  </si>
  <si>
    <t>D16</t>
  </si>
  <si>
    <t>D17</t>
  </si>
  <si>
    <t>D18</t>
  </si>
  <si>
    <t>E01</t>
  </si>
  <si>
    <t>E02</t>
  </si>
  <si>
    <t>E03</t>
  </si>
  <si>
    <t>Tropical Important Plant Areas and Important Plant Species in TCI</t>
  </si>
  <si>
    <t>Protecting Anguilla’s biodiversity by building capacity in invasive plant management</t>
  </si>
  <si>
    <t>Advancing Falklands and region-scale management of globally important whale populations</t>
  </si>
  <si>
    <t>Transforming Anguilla's Marine Parks: institutionalising sustainable and collaborative management solutions</t>
  </si>
  <si>
    <t>Growing hope – a blueprint for saving Ascension’s endemic plants</t>
  </si>
  <si>
    <t>Multi-Purpose Soil Survey: informing environmental management and climate change mitigation</t>
  </si>
  <si>
    <t>Exploring the drivers of human-shark conflict at Ascension Island</t>
  </si>
  <si>
    <t>Characterising the biodiversity of selected offshore seamounts to improve management</t>
  </si>
  <si>
    <t>Preserving endemic threatened wildlife populations through effective protected area management.</t>
  </si>
  <si>
    <t>Barcoding an island – expanding genetic biomonitoring on Ascension</t>
  </si>
  <si>
    <t>Improving identification of fish bycatch in the Antarctic krill fishery</t>
  </si>
  <si>
    <t>A cross-UKOT camera network to enhance marine predator conservation</t>
  </si>
  <si>
    <t>Enhancing monitoring and prevention of invasive non-native species across UKOTs</t>
  </si>
  <si>
    <t>Turning the Tide on Plastic Pollution: Ascension and St Helena</t>
  </si>
  <si>
    <t>Humpback Whales of the Pitcairn Islands</t>
  </si>
  <si>
    <t>Inhabited Territory restoration: completing preparations for a rodent-free Pitcairn Islands</t>
  </si>
  <si>
    <t>Characterising pelagic biodiversity at South Georgia through novel sampling methods</t>
  </si>
  <si>
    <t>Habitat restoration and species re-introductions on four Falklands island reserves</t>
  </si>
  <si>
    <t>Biodiversity metrics for conservation management in the British Virgin Islands</t>
  </si>
  <si>
    <t>Mitigating the impacts of climate change on sea turtle populations</t>
  </si>
  <si>
    <t>Safeguarding Antarctic krill stocks for baleen whales</t>
  </si>
  <si>
    <t>Evidence-based conservation of biodiversity in the South Sandwich Islands</t>
  </si>
  <si>
    <t>Evaluating climate change risks to Patagonian and Antarctic toothfish</t>
  </si>
  <si>
    <t>Improving St Helena’s grasslands to benefit people and wildlife</t>
  </si>
  <si>
    <t>Enabling invasive plant eradications and long-term management in Tristan</t>
  </si>
  <si>
    <t>Delivering biodiversity and human well-being gains for Montserrat’s sustainable development</t>
  </si>
  <si>
    <t>Protecting Seabirds Across Borders</t>
  </si>
  <si>
    <t>Habitat Restoration of Great &amp; Little Tobago National Parks (BVI)</t>
  </si>
  <si>
    <t xml:space="preserve">Total number of reports per indicator      </t>
  </si>
  <si>
    <t>Standard Indicator (select here -&gt;)</t>
  </si>
  <si>
    <t>Round/ Year</t>
  </si>
  <si>
    <t>All years</t>
  </si>
  <si>
    <t>All rounds</t>
  </si>
  <si>
    <t>SI</t>
  </si>
  <si>
    <t>SI Wording</t>
  </si>
  <si>
    <t>Number of Projects Reporting</t>
  </si>
  <si>
    <t>2023/24 target for reference</t>
  </si>
  <si>
    <t>2024/25 Target</t>
  </si>
  <si>
    <t>In the 2023 Synthesis, targets were set using a simple modeling exercise using results from previous years and an adjustment which accounted in a rough way for changes in total funding disbursed year-on-year</t>
  </si>
  <si>
    <t>In 2024, there is an opportunity set targets for 2025 using a more direct method of considering the difference between what projects are aiming to achieve over their lifetimes and what they have already achieved. One more year of data is needed before this method can be used with more condifence. All current limitations are outlined in the table below.</t>
  </si>
  <si>
    <t>Funding round</t>
  </si>
  <si>
    <t>Years of data in 2023/24</t>
  </si>
  <si>
    <t>Formula to estimate targets for 2024/25</t>
  </si>
  <si>
    <t>Notes</t>
  </si>
  <si>
    <t>N/A</t>
  </si>
  <si>
    <t>While there may be one or two projects that get delayed or are longer than normal, there is no universal formula that we could use to capture these consistently. Not including these results errs on the side of cautious target setting.</t>
  </si>
  <si>
    <t>1st choice: Target for full project minus to date (not viable)
2nd choice: assume same as 2023/24
3rd choice: assume zero</t>
  </si>
  <si>
    <t>1st choice doesn't work for Round 10 and earlier as reporting is voluntary and targets not set
2nd choice will greatly overestimate as most will run for only a few months in 2024/25
3rd choice seems best given poor quality of voluntarily reported data and need to err towards conservative estimates.</t>
  </si>
  <si>
    <t>1st choice: Target for full project minus to date (not viable)
2nd choice: assume same as 2023/24</t>
  </si>
  <si>
    <t>1st choice doesn't work for Round 10 and earlier as reporting is voluntary and targets not set
2nd choice will overestimate indicators weighted towards delivery in 3rd year eg. policies.</t>
  </si>
  <si>
    <t>11, 12</t>
  </si>
  <si>
    <t>(Target for full project minus to date)/2</t>
  </si>
  <si>
    <t>Will underestimate indicators weighted towards delivery in 3rd year eg. policies.</t>
  </si>
  <si>
    <t>13, 14</t>
  </si>
  <si>
    <t>0 (not collected)</t>
  </si>
  <si>
    <t>Assume same as Round 11+12 in 2023/24</t>
  </si>
  <si>
    <t>Assumes Rounds 13+14 are the same as Rounds 11+12 and will be off in all ways in which these Rounds differ (incl. total funding disbursed). Targets could be set with higher accuracy if they were based on Targets set by Round 13+14, but this would require additional resources for data entry.</t>
  </si>
  <si>
    <t>VfM Assessment tool</t>
  </si>
  <si>
    <t>Step 1</t>
  </si>
  <si>
    <t>Choose the Standard Indicator and scheme that you'd like to focus on using the buttons on the left</t>
  </si>
  <si>
    <t>Step 2</t>
  </si>
  <si>
    <t>Assess the spread of results. Note outliers.</t>
  </si>
  <si>
    <t>Step 3</t>
  </si>
  <si>
    <t>Approximate benchmark if appropriate.</t>
  </si>
  <si>
    <t>Project reference</t>
  </si>
  <si>
    <t>Scheme</t>
  </si>
  <si>
    <t>Grant value</t>
  </si>
  <si>
    <t>V1.0 standard Indicator reference</t>
  </si>
  <si>
    <t>Standard Indicator ID Short</t>
  </si>
  <si>
    <t>Standard Indicator wording</t>
  </si>
  <si>
    <t>V1.0 or V2.0 reference</t>
  </si>
  <si>
    <t>Year of results</t>
  </si>
  <si>
    <t>Country</t>
  </si>
  <si>
    <t>Indigenous</t>
  </si>
  <si>
    <t>Ecosystem type</t>
  </si>
  <si>
    <t>Management type</t>
  </si>
  <si>
    <t>New vs improved</t>
  </si>
  <si>
    <t>Milestone for year</t>
  </si>
  <si>
    <t>Result for year</t>
  </si>
  <si>
    <t>Total achieved to date</t>
  </si>
  <si>
    <t>Target for full project</t>
  </si>
  <si>
    <t>Notes (include initials)</t>
  </si>
  <si>
    <t>Main</t>
  </si>
  <si>
    <t>V1.0</t>
  </si>
  <si>
    <t>Turks and Caicos Islands (TCI) </t>
  </si>
  <si>
    <t>Women</t>
  </si>
  <si>
    <t>Not specified</t>
  </si>
  <si>
    <t>Not Specified</t>
  </si>
  <si>
    <t>Men</t>
  </si>
  <si>
    <t>Number of government institutions/departments with enhanced awareness and understanding of biodiversity and associated local community issues.</t>
  </si>
  <si>
    <t>Number of new conservation or species stock assessments published.</t>
  </si>
  <si>
    <t>Number of records added to accessible databases.</t>
  </si>
  <si>
    <t>Number of other publications produced.</t>
  </si>
  <si>
    <t>Anguilla</t>
  </si>
  <si>
    <t>PEHR - Reported as percentage</t>
  </si>
  <si>
    <t>Number of new/improved species management plans available and endorsed.</t>
  </si>
  <si>
    <t>Number of best practice guides and knowledge products published and endorsed.</t>
  </si>
  <si>
    <t>Falkland Islands</t>
  </si>
  <si>
    <t>Area identified as important for biodiversity.</t>
  </si>
  <si>
    <t>Number of projects contributing evidence to biodiversity conservation or associated community benefits to policy/regulation/standards consultations.</t>
  </si>
  <si>
    <t>Areas of importance for biodiversity identified.</t>
  </si>
  <si>
    <t>Marine</t>
  </si>
  <si>
    <t>Marine management</t>
  </si>
  <si>
    <t>Social Media presence.</t>
  </si>
  <si>
    <t xml:space="preserve">PEHR - presented as average reach per post, summed across years </t>
  </si>
  <si>
    <t>Number of Media related activities.</t>
  </si>
  <si>
    <t>Number of unique papers submitted to peer reviewed journals.</t>
  </si>
  <si>
    <t>Number of papers published in peer reviewed journals.</t>
  </si>
  <si>
    <t>Number of new/improved habitat management plans available and endorsed.</t>
  </si>
  <si>
    <t>New</t>
  </si>
  <si>
    <t>Improved</t>
  </si>
  <si>
    <t>Hectares of habitat under sustainable management practices.</t>
  </si>
  <si>
    <t>Combination</t>
  </si>
  <si>
    <t xml:space="preserve">PEHR - reported in sq-km / converted to ha / combination marine and coastal </t>
  </si>
  <si>
    <t>St Helena</t>
  </si>
  <si>
    <t>PEHR - Project did not report the DPLUS Indicator number, but all reporting seemed to align with DPLUS-A01, summed across M/F.</t>
  </si>
  <si>
    <t>Ascension (St Helena Group)</t>
  </si>
  <si>
    <t>Stabilised/ improved species population (relative abundance/ distribution) within the project area.</t>
  </si>
  <si>
    <t>British Virgin Islands (BVI)</t>
  </si>
  <si>
    <t xml:space="preserve">PEHR - project attempted disaggregation by gender but not done by year or total planned. </t>
  </si>
  <si>
    <t>Number of people reporting that they are applying new capabilities (skills and knowledge) 6 (or more)
months after training.</t>
  </si>
  <si>
    <t>PEHR - AR does not disaggregate total planned by M / F - assumed 50:50 of total planned</t>
  </si>
  <si>
    <t xml:space="preserve">Social Media presence. </t>
  </si>
  <si>
    <t>Number of decision-makers attending briefing events.</t>
  </si>
  <si>
    <t xml:space="preserve">PEHR - project attempted disaggregagtion by gender but not done by year or total planned. </t>
  </si>
  <si>
    <t>Number of projects contributing data, insights, and case studies to national Multilateral Environmental Agreements (MEAs) related reporting processes and calls for evidence.</t>
  </si>
  <si>
    <t>Cayman Islands </t>
  </si>
  <si>
    <t>New assessments of community use of biodiversity resources published.</t>
  </si>
  <si>
    <t>New assessments of habitat conservation action needs published.</t>
  </si>
  <si>
    <t>Number of policies with biodiversity provisions that have been enacted or amended.</t>
  </si>
  <si>
    <t>Terrestrial</t>
  </si>
  <si>
    <t>Animal Management</t>
  </si>
  <si>
    <t>PEHR - terrestrial / marine -- invertebrates</t>
  </si>
  <si>
    <t>UKOTs</t>
  </si>
  <si>
    <t>Species reference collections made (known to science, new to science).</t>
  </si>
  <si>
    <t>PEHR - AR2 did not provide total to date, summed Y1 and Y2</t>
  </si>
  <si>
    <t>Number of webinar attendees.</t>
  </si>
  <si>
    <t xml:space="preserve">PEHR - AR2 did not provide SI numbers, matched wording to DPLUS SI. </t>
  </si>
  <si>
    <t>PEHR - AR2 did not provide SI numbers, matched wording to DPLUS SI. Marine / Coastal -- Marine Animal Management</t>
  </si>
  <si>
    <t xml:space="preserve">PEHR - AR2 wording / numbers don't make sense in the context of this SI. </t>
  </si>
  <si>
    <t>Number of secondments or placements completed by individuals of key local and national stakeholders.</t>
  </si>
  <si>
    <t xml:space="preserve">PEHR - AR2 wording doesn't make sense in the context of this SI. </t>
  </si>
  <si>
    <t>Number of new/improved community management plans available and endorsed.</t>
  </si>
  <si>
    <t xml:space="preserve">PEHR - Incorrect SI </t>
  </si>
  <si>
    <t>Number of people whose disaster/climate resilience has been improved.</t>
  </si>
  <si>
    <t>St Helena, Ascension</t>
  </si>
  <si>
    <t>Number of new/improved sustainable enterprises/ community benefits management plans available and endorsed.</t>
  </si>
  <si>
    <t>Pitcairn group (St Helena, Bermuda)</t>
  </si>
  <si>
    <t xml:space="preserve">PEHR - AR2 reported as proportion rather than whole number. </t>
  </si>
  <si>
    <t>PEHR - AR2 Y2 and total to date mismatch</t>
  </si>
  <si>
    <t>Pitcairn, Hendreson</t>
  </si>
  <si>
    <t>SGSSI</t>
  </si>
  <si>
    <t>Area of degraded or converted ecosystems that are under active restoration.</t>
  </si>
  <si>
    <t xml:space="preserve">PEHR - AR1 reports the number of samples from across four different collections. I've reported the number of collections here. </t>
  </si>
  <si>
    <t>Vegetation Management</t>
  </si>
  <si>
    <t>BAT</t>
  </si>
  <si>
    <t>PEHR - reported in sq-km</t>
  </si>
  <si>
    <t>DPLUS-C06 </t>
  </si>
  <si>
    <t xml:space="preserve">Number of downloads of new peer
reviewed publications. </t>
  </si>
  <si>
    <t>PEHR - aggregated reporting on separate lines</t>
  </si>
  <si>
    <r>
      <t xml:space="preserve">PEHR - reported in ha; JAKI notes very high target but looking closer appears as though it could be credible. JAKI reviewed again, we can't include something this big without going back to project to verify. By look of logframe, it is about information provision to set fisheries management parameters which is good but there is not much by way of ensuring this info is used, therefore can they really demonstrate a change in </t>
    </r>
    <r>
      <rPr>
        <i/>
        <sz val="10"/>
        <color theme="1"/>
        <rFont val="Calibri"/>
        <family val="2"/>
        <scheme val="minor"/>
      </rPr>
      <t>practice</t>
    </r>
    <r>
      <rPr>
        <sz val="10"/>
        <color theme="1"/>
        <rFont val="Calibri"/>
        <family val="2"/>
        <scheme val="minor"/>
      </rPr>
      <t>? Target of 658,000 removed.</t>
    </r>
  </si>
  <si>
    <t>PEHR - terrestrial / marine</t>
  </si>
  <si>
    <t>PEHR - terrestrial / marine -- does not differentiate new / improved</t>
  </si>
  <si>
    <t>Number of people benefitting from improved sustainable agriculture practices and are more resilient to weather shocks and climate trends.</t>
  </si>
  <si>
    <t xml:space="preserve">Area of degraded or converted ecosystems that are under active restoration. </t>
  </si>
  <si>
    <t>Restoration</t>
  </si>
  <si>
    <t>Tristan da Cunha (St Helen Group)</t>
  </si>
  <si>
    <t>PEHR - AR1 does not disaggregate total planned by M / F - assumed 50:50 of total planned</t>
  </si>
  <si>
    <t>PEHR - AR1 reports total planned as percentage increase</t>
  </si>
  <si>
    <t>Montserrat</t>
  </si>
  <si>
    <t>PEHR - AR1 does not provide estimate for total planned so estimated from total to-date + Y3 aim</t>
  </si>
  <si>
    <t>PEHR - AR1 report is unclear</t>
  </si>
  <si>
    <t xml:space="preserve">Drivers of biodiversity loss assessed to have been reduced or removed. </t>
  </si>
  <si>
    <t>Number of people reporting that they are applying new capabilities</t>
  </si>
  <si>
    <t>PEHR - AR1 mismatch between Y1 total and total to-date</t>
  </si>
  <si>
    <t>PEHR - AR1 reports separate social media on different lines - combined for this report</t>
  </si>
  <si>
    <t>BVI</t>
  </si>
  <si>
    <t>PEHR - AR1 reports in ha</t>
  </si>
  <si>
    <t xml:space="preserve">DPLUS-A01 </t>
  </si>
  <si>
    <t xml:space="preserve">Tristan da Cunha </t>
  </si>
  <si>
    <t>DPLUS109</t>
  </si>
  <si>
    <t>DPLUS111</t>
  </si>
  <si>
    <t>PEHR - FR notes this is pending so cannot record as achieved yet</t>
  </si>
  <si>
    <t xml:space="preserve">Turks &amp; Caicos Islands </t>
  </si>
  <si>
    <t>PEHR - Target not specified, assumed = total achieved to date</t>
  </si>
  <si>
    <t>DPLUS132</t>
  </si>
  <si>
    <t>PEHR - did not disaggregate by new or improved</t>
  </si>
  <si>
    <t>PEHR - Logframe notes not achieved - awaiting formalisation</t>
  </si>
  <si>
    <t>PEHR - Logframe notes not achieved  - awaiting formalisation</t>
  </si>
  <si>
    <t>Cyprus</t>
  </si>
  <si>
    <t>PEHR - SI reporting notes 5 distinct events w/ disaggregation by W/M</t>
  </si>
  <si>
    <t xml:space="preserve">PEHR - Reported as percentage increase in abundance for four species. Cannot aggregate. </t>
  </si>
  <si>
    <t>SGSSI, Falkland Islands</t>
  </si>
  <si>
    <t>PEHR - nothing reported in Y1-Y3 but total to-date reported as 1</t>
  </si>
  <si>
    <t>PEHR - not sure if theyh understood how to report correctly</t>
  </si>
  <si>
    <t>British Indian Ocean Territory</t>
  </si>
  <si>
    <t xml:space="preserve">A05 </t>
  </si>
  <si>
    <t>JAKI removed as checking in FR this was the number of species for which the project had records (not stock assessments). Removed 8800 reported, 15,896 to date and 500 target for full project. As noted by PEHR DPLUS151 which reports 8100. It is unlikely that this is a stock assessment but rather the number of individuals recorded in one stock assessment.</t>
  </si>
  <si>
    <t>PEHR - reported honestly but unrealistic in the first instance</t>
  </si>
  <si>
    <t>DPLUS107</t>
  </si>
  <si>
    <t>St Helena, Ascension, Tristan da Cunha</t>
  </si>
  <si>
    <t>DPLUS133</t>
  </si>
  <si>
    <t>Ascension</t>
  </si>
  <si>
    <t>DPLUS138</t>
  </si>
  <si>
    <t>DPLUS139</t>
  </si>
  <si>
    <t>DPL00022</t>
  </si>
  <si>
    <t>Local</t>
  </si>
  <si>
    <t>Number of people reporting that they are applying new capabilities (skills and knowledge) 6 (or more) months after training.</t>
  </si>
  <si>
    <t>DPL00052</t>
  </si>
  <si>
    <t>DPL00001</t>
  </si>
  <si>
    <t>DPL00002</t>
  </si>
  <si>
    <t>Falkland Islands (FI)</t>
  </si>
  <si>
    <t>DPL00003</t>
  </si>
  <si>
    <t>Turks &amp; Caicos Islands (TCI)</t>
  </si>
  <si>
    <t>DPL00004</t>
  </si>
  <si>
    <t>Bermuda</t>
  </si>
  <si>
    <t>DPL00007</t>
  </si>
  <si>
    <t>DPL00008</t>
  </si>
  <si>
    <t>British Antarctic Territory (BAT)</t>
  </si>
  <si>
    <t>DPL00009</t>
  </si>
  <si>
    <t>DPL00010</t>
  </si>
  <si>
    <t>DPL00012</t>
  </si>
  <si>
    <t>DPL00013</t>
  </si>
  <si>
    <t>DPL00015</t>
  </si>
  <si>
    <t>DPL00018</t>
  </si>
  <si>
    <t>Cayman Islands</t>
  </si>
  <si>
    <t>DPL00019</t>
  </si>
  <si>
    <t>South Georgia and The South Sandwich Islands (SGSSI)</t>
  </si>
  <si>
    <t>DPL00020</t>
  </si>
  <si>
    <t>DPL00033</t>
  </si>
  <si>
    <t>St Helena (St Helena Group)</t>
  </si>
  <si>
    <t>DPL00037</t>
  </si>
  <si>
    <t>DPL00038</t>
  </si>
  <si>
    <t>DPL00039</t>
  </si>
  <si>
    <t>DPL00040</t>
  </si>
  <si>
    <t>DPL00042</t>
  </si>
  <si>
    <t>DPL00045</t>
  </si>
  <si>
    <t>British Indian Ocean Territory (BIOT)</t>
  </si>
  <si>
    <t>DPL00055</t>
  </si>
  <si>
    <t>DPL00057</t>
  </si>
  <si>
    <t>Gibraltar</t>
  </si>
  <si>
    <t>DPL00058</t>
  </si>
  <si>
    <t>DPL00011</t>
  </si>
  <si>
    <t>Number of people from key national and local stakeholder groups completing structured and relevant training.</t>
  </si>
  <si>
    <t>DPL00014</t>
  </si>
  <si>
    <t>Sovereign Base Areas of Akrotiri and Dhekelia (on Cyprus)</t>
  </si>
  <si>
    <t>DPL00021</t>
  </si>
  <si>
    <t>DPL00025</t>
  </si>
  <si>
    <t>DPL00026</t>
  </si>
  <si>
    <t>DPL00028</t>
  </si>
  <si>
    <t>DPL00029</t>
  </si>
  <si>
    <t>DPL00030</t>
  </si>
  <si>
    <t>DPL00031</t>
  </si>
  <si>
    <t>DPL00032</t>
  </si>
  <si>
    <t>DPL00035</t>
  </si>
  <si>
    <t>Tristan da Cunha (St Helena Group)</t>
  </si>
  <si>
    <t>DPL00036</t>
  </si>
  <si>
    <t>DPL00041</t>
  </si>
  <si>
    <t>DPL00044</t>
  </si>
  <si>
    <t>DPL00047</t>
  </si>
  <si>
    <t>DPL00050</t>
  </si>
  <si>
    <t>DPL00051</t>
  </si>
  <si>
    <t>DPL00059</t>
  </si>
  <si>
    <t>DPL00061</t>
  </si>
  <si>
    <t>JAKI - removed 5500 reported after flagged by PEHR</t>
  </si>
  <si>
    <t>​Number of new/improved habitat management plans available and endorsed.</t>
  </si>
  <si>
    <t>DPL00017</t>
  </si>
  <si>
    <t>1 new 1 improved</t>
  </si>
  <si>
    <t>DPL00024</t>
  </si>
  <si>
    <t>VICP: popn of TCI is ~45k so this target not to unreasonable</t>
  </si>
  <si>
    <t>VICP: this is total popn Montserrat</t>
  </si>
  <si>
    <t>DPL00006</t>
  </si>
  <si>
    <t>VICP: The project states "The data gathered will be used by the Government to inform the development of the newly designated Terrestrial Protected Area". Also reported under DPL00039. JAKI: Removed 380,000 reported as regardless of where we land with our methodology for this Standard Indicator it will almost certainly exclude what a Local project can achieve except on a very small scale.</t>
  </si>
  <si>
    <t>VICP: entire arrea of SGSSI - also reported under DPL00019 JAKI: Removed 393,000 reported as regardless of where we land with our methodology for this Standard Indicator it will almost certainly exclude what a Local project can achieve except on a very small scale.</t>
  </si>
  <si>
    <t>DPL00049</t>
  </si>
  <si>
    <t>VICP: Clean up but not clear if ongoing management so may want to discard</t>
  </si>
  <si>
    <t xml:space="preserve">VICP: 200ha - area ID'd as priority for management (but not actually under management?) </t>
  </si>
  <si>
    <t>Fund</t>
  </si>
  <si>
    <t>Funding Round</t>
  </si>
  <si>
    <t>UKOT</t>
  </si>
  <si>
    <t>Start date</t>
  </si>
  <si>
    <t>End date</t>
  </si>
  <si>
    <t>Type of Report</t>
  </si>
  <si>
    <t>Report #</t>
  </si>
  <si>
    <t>Results in 23/24?</t>
  </si>
  <si>
    <t>Comments/FRs with SIs?</t>
  </si>
  <si>
    <t>Matched funding to date</t>
  </si>
  <si>
    <t>Matched funding planned</t>
  </si>
  <si>
    <t>Mobilised funding to date</t>
  </si>
  <si>
    <t>Mobilised funding Planned</t>
  </si>
  <si>
    <t>SI data compiled? Y/N</t>
  </si>
  <si>
    <t>Darwin Plus</t>
  </si>
  <si>
    <t>Darwin Plus Local</t>
  </si>
  <si>
    <t>A wild welcome to Ascension</t>
  </si>
  <si>
    <t>Y</t>
  </si>
  <si>
    <t/>
  </si>
  <si>
    <t>Restoring native tussac grassland habitat</t>
  </si>
  <si>
    <t xml:space="preserve">Falkland Islands </t>
  </si>
  <si>
    <t>Greening Our Schools – Let’s think green!</t>
  </si>
  <si>
    <t>Turks and Caicos Islands</t>
  </si>
  <si>
    <t>Building Capacity for Coral Restoration: Contributing to Bermuda's Blue Infrastructure</t>
  </si>
  <si>
    <t>Darwin Plus Main</t>
  </si>
  <si>
    <t>Tristan da Cunha</t>
  </si>
  <si>
    <t>Restoring peat soils and tussac grass habitat in the Falklands</t>
  </si>
  <si>
    <t>Bermuda Zoological Society's Micro Forest Project</t>
  </si>
  <si>
    <t>Biodiversity Survey and Environmental Management Plan in Antarctica</t>
  </si>
  <si>
    <t xml:space="preserve">British Antarctic Territory </t>
  </si>
  <si>
    <t>Head in the Clouds: Extending Ascension’s cloud forest</t>
  </si>
  <si>
    <t>Tackling plastic pollution on Ascension Island</t>
  </si>
  <si>
    <t>Achieving long-term recreational fisheries sustainability through community-led data collection</t>
  </si>
  <si>
    <t>Claw and Order, making Ascension Island safe for Land Crabs</t>
  </si>
  <si>
    <t>Conserving five Ascension-endemic crustaceans in a tiny biodiversity hotspot</t>
  </si>
  <si>
    <t>Raising awareness about the importance of arthropods</t>
  </si>
  <si>
    <t>SBA Cyprus</t>
  </si>
  <si>
    <t>South Caicos Reef Restoration Vessel</t>
  </si>
  <si>
    <t xml:space="preserve">Turks and Caicos Islands </t>
  </si>
  <si>
    <t>Community supported multispecies invasive vertebrate control on St Helena</t>
  </si>
  <si>
    <t>2 months of results for this year</t>
  </si>
  <si>
    <t>Pollution and invasive species management, Spittal Pond Nature Reserve</t>
  </si>
  <si>
    <t>Development of a National Trust for the Cayman Islands App</t>
  </si>
  <si>
    <t>Mapping South Georgia's Plant Biodiversity</t>
  </si>
  <si>
    <t>South Georgia and the South Sandwich Islands</t>
  </si>
  <si>
    <t>Data driven solutions to land management and climate change adaptation</t>
  </si>
  <si>
    <t>Establishing digital data tools for enhanced conservation management and policy-making</t>
  </si>
  <si>
    <t>Safeguarding Seedbanks: Securing the future of Ascension spurge</t>
  </si>
  <si>
    <t>DPL00023</t>
  </si>
  <si>
    <t>Preventing Common Myna invasion in Akrotiri SBA and Cyprus</t>
  </si>
  <si>
    <t>Dealing with plastic waste on Diego Garcia’s turtle nesting beaches</t>
  </si>
  <si>
    <t>Building farm biodiversity planning and monitoring capacity for sustainable management</t>
  </si>
  <si>
    <t>Remote monitoring of Sister Islands Rock Iguanas on Cayman Brac</t>
  </si>
  <si>
    <t>Initiating monitoring support for the SGSSI-MPA Research and Monitoring Plan</t>
  </si>
  <si>
    <t>9 months of results for this year</t>
  </si>
  <si>
    <t>Nature-based solutions to treat SCTLD - Montserrat - Pilot Program</t>
  </si>
  <si>
    <t>Developing conservation practitioners to enable mountain chicken restoration in Montserrat</t>
  </si>
  <si>
    <t>Establishing a Video Survey Library Program for Montserrat's Coral Reefs</t>
  </si>
  <si>
    <t>MNT- Pipers Lot Outdoor Educational Facility &amp; Nature Trail</t>
  </si>
  <si>
    <t>Strengthening Montserrat's Marine Ecosystem through Coral Restoration Implementation and Training</t>
  </si>
  <si>
    <t>Building on island capacity for long-term seabird monitoring</t>
  </si>
  <si>
    <t>DPLUS110</t>
  </si>
  <si>
    <t>Recognise, protect, restore: driving sound stewardship of Falklands peat wetlands</t>
  </si>
  <si>
    <t>N - examples only</t>
  </si>
  <si>
    <t>7 months of results for this year</t>
  </si>
  <si>
    <t>Restoration of grassland at Tristan da Cunha</t>
  </si>
  <si>
    <t>Island wide predator control to prevent loss of bird biodiversity</t>
  </si>
  <si>
    <t>Can Ascension be predator free?</t>
  </si>
  <si>
    <t>Can biocontrol halt the tsunami of non-native species on Ascension?</t>
  </si>
  <si>
    <t>Assessing Terrestrial Climate Change Impacts on a sub-Antarctic Archipelago</t>
  </si>
  <si>
    <t>Ascension Scaly Crickets: Urgent Conservation of a Unique Endemic Genus</t>
  </si>
  <si>
    <t>Assessing and protecting marine biodiversity (Jubilee Shoals, SBAA Akrotiri, Cyprus)</t>
  </si>
  <si>
    <t>Uncovering the genetic diversity of Caribbean coral rubble beds</t>
  </si>
  <si>
    <t>Building Resilient, Participatory Management of Marine Biodiversity in Hurricane-prone BVI</t>
  </si>
  <si>
    <t>British Virgin Islands</t>
  </si>
  <si>
    <t>Evaluating an important biodiversity area in Gibraltar: Windmill Hill Flats</t>
  </si>
  <si>
    <t>Developing biodiversity stewardship among TCI fishers through outreach and education</t>
  </si>
  <si>
    <t>Increasing environmental monitoring capacity on FI: a Thermal Imaging UAV</t>
  </si>
  <si>
    <t>01/10/2023</t>
  </si>
  <si>
    <t>AR</t>
  </si>
  <si>
    <t>N</t>
  </si>
  <si>
    <t>Beyond The Reef BVI - Ghost Gear Cleanup</t>
  </si>
  <si>
    <t xml:space="preserve">British Virgin Islands </t>
  </si>
  <si>
    <t>Increasing Cayman Youth Environmental Awareness Through Immersive Education</t>
  </si>
  <si>
    <t>Enquiry into the Pontodrilus sp. earthworm’s consumption of sargassum seaweed</t>
  </si>
  <si>
    <t>02/10/2023</t>
  </si>
  <si>
    <t>Unveiling the Unrecognized: Sea Cucumbers' Role in Coral Reef Health</t>
  </si>
  <si>
    <t>Not yet due</t>
  </si>
  <si>
    <t>DPLUS119</t>
  </si>
  <si>
    <t>Technical assistance programme for effective coastal-marine management in the TCI</t>
  </si>
  <si>
    <t>4 months of results for this year</t>
  </si>
  <si>
    <t>Cost-effective habitat monitoring to understand seagrass decline in Bermuda</t>
  </si>
  <si>
    <t>DPL00056</t>
  </si>
  <si>
    <t>Hedgehog conservation initiative at the Western SBAs Cyprus</t>
  </si>
  <si>
    <t>Oyster restoration in British Gibraltar Territorial Waters: locating suitable sites</t>
  </si>
  <si>
    <t>Fire Contingency Planning for Offshore Islands</t>
  </si>
  <si>
    <t>Permanent survey plots for baseline and long-term woodland ecological assessment</t>
  </si>
  <si>
    <t>Demonstrating Adaptation and Sustainability at the Montserrat National Trust's Botanical Gardens</t>
  </si>
  <si>
    <t>Not yet submitted</t>
  </si>
  <si>
    <t>Anguilla, British Virgin Islands, Montserrat</t>
  </si>
  <si>
    <t>Monitoring albatrosses using very high resolution satellites and citizen science</t>
  </si>
  <si>
    <t>Tristan da Cunha, South Georgia and the South Sandwich Islands</t>
  </si>
  <si>
    <t>8 months of results for this year</t>
  </si>
  <si>
    <t>Streamlining Ascension Island’s Marine Turtle Monitoring Programme for long-term sustainability</t>
  </si>
  <si>
    <t>01/07/2021</t>
  </si>
  <si>
    <t>6 months of results for this year</t>
  </si>
  <si>
    <t>Extended end date no longer reporting with FR this year and AR is late</t>
  </si>
  <si>
    <t>Filling knowledge gaps to enable rewilding of the Chagos Archipelago</t>
  </si>
  <si>
    <t>3 months of results for this year</t>
  </si>
  <si>
    <t>Improving Falklands marine management effectiveness for marine higher predators</t>
  </si>
  <si>
    <t>01/08/2021</t>
  </si>
  <si>
    <t>Y - not annualised</t>
  </si>
  <si>
    <t>1 month of results for this year</t>
  </si>
  <si>
    <t>N - did not complete</t>
  </si>
  <si>
    <t>DPLUS145</t>
  </si>
  <si>
    <t>Assessing the mobile fish biodiversity of Bermuda’s deep seas</t>
  </si>
  <si>
    <t>5 months of results for this year</t>
  </si>
  <si>
    <t>British Virgin Islands, Cayman Islands, Turks and Caicos Islands</t>
  </si>
  <si>
    <t>DPLUS150</t>
  </si>
  <si>
    <t>Ecosystem sensitivity and climate vulnerability for MSP in the BVI</t>
  </si>
  <si>
    <t>3 months of yesults for this year</t>
  </si>
  <si>
    <t>DPLUS152</t>
  </si>
  <si>
    <t>Coastal Resource Atlas 2021 and Temporal Analysis for the BVI</t>
  </si>
  <si>
    <t>Due but not submitted</t>
  </si>
  <si>
    <t>£259,882.00 </t>
  </si>
  <si>
    <t>British Antarctic Territory, Falkland Islands, Gibraltar, Montserrat, St Helena, South Georgia and South Sandwich Islands, Ascension</t>
  </si>
  <si>
    <t>All UKOTs</t>
  </si>
  <si>
    <t>Pitcairn</t>
  </si>
  <si>
    <t>British Antarctic Territory</t>
  </si>
  <si>
    <t>£76,886 </t>
  </si>
  <si>
    <t>31/10/2023</t>
  </si>
  <si>
    <t>Year</t>
  </si>
  <si>
    <t>ReportingYear</t>
  </si>
  <si>
    <t>Result</t>
  </si>
  <si>
    <t>SI - Actuals</t>
  </si>
  <si>
    <t>Frequency</t>
  </si>
  <si>
    <t xml:space="preserve">SI - Actuals </t>
  </si>
  <si>
    <t>Sum Result Round 10 Y1</t>
  </si>
  <si>
    <t>Sum Result Round 11 Y1</t>
  </si>
  <si>
    <t>R10, Y1</t>
  </si>
  <si>
    <t>R11, Y1</t>
  </si>
  <si>
    <t>DPLUS089</t>
  </si>
  <si>
    <t>Y1</t>
  </si>
  <si>
    <t>Y2</t>
  </si>
  <si>
    <t>Y3</t>
  </si>
  <si>
    <t>DPLUS113</t>
  </si>
  <si>
    <t>DPLUS-A04  </t>
  </si>
  <si>
    <t>DPLUS-C05 </t>
  </si>
  <si>
    <t>DPLUS-C12 </t>
  </si>
  <si>
    <t>DPLUS-A07 </t>
  </si>
  <si>
    <t>DPLUS-A03 </t>
  </si>
  <si>
    <t>DPLUS-B02 </t>
  </si>
  <si>
    <t>DPLUS-B11 </t>
  </si>
  <si>
    <t>DPLUS-C03 </t>
  </si>
  <si>
    <t>DPLUS-C07 </t>
  </si>
  <si>
    <t>DPLUS-C15 </t>
  </si>
  <si>
    <t>DPLUS-C17 </t>
  </si>
  <si>
    <t>DPLUS-C18 </t>
  </si>
  <si>
    <t>DPLUS-C19 </t>
  </si>
  <si>
    <t>DPLUS-D01 </t>
  </si>
  <si>
    <t>DPLUS-C01 </t>
  </si>
  <si>
    <t>DPLUS-C08 </t>
  </si>
  <si>
    <t>DPLUS-C16 </t>
  </si>
  <si>
    <t>DPLUS-A01 </t>
  </si>
  <si>
    <t>DPLUS-B05 </t>
  </si>
  <si>
    <t>DPLUS-D12 </t>
  </si>
  <si>
    <t>DPLUS-A04 </t>
  </si>
  <si>
    <t>DPLUS-C14 </t>
  </si>
  <si>
    <t>StandardIndicatorReference</t>
  </si>
  <si>
    <t>Target</t>
  </si>
  <si>
    <t>Sum of Target</t>
  </si>
  <si>
    <t>Column Labels</t>
  </si>
  <si>
    <t>Row Labels</t>
  </si>
  <si>
    <t>Grand Total</t>
  </si>
  <si>
    <t xml:space="preserve">DPLUS-A05 </t>
  </si>
  <si>
    <t>NA</t>
  </si>
  <si>
    <t>Standard Indicator Ref</t>
  </si>
  <si>
    <t>Total for each round</t>
  </si>
  <si>
    <t>Number of projects reporting by round</t>
  </si>
  <si>
    <t>Planned figures by round</t>
  </si>
  <si>
    <t>DPL SI ID</t>
  </si>
  <si>
    <t>Count of Ref</t>
  </si>
  <si>
    <t xml:space="preserve">Round </t>
  </si>
  <si>
    <t>Grand total</t>
  </si>
  <si>
    <t xml:space="preserve">Darwin Plus
Synthesis of results for projects reporting for 2023/2024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</si>
</sst>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1" formatCode="_-* #,##0_-;\-* #,##0_-;_-* &quot;-&quot;_-;_-@_-"/>
    <numFmt numFmtId="43" formatCode="_-* #,##0.00_-;\-* #,##0.00_-;_-* &quot;-&quot;??_-;_-@_-"/>
    <numFmt numFmtId="164" formatCode="_-* #,##0_-;\-* #,##0_-;_-* &quot;-&quot;??_-;_-@_-"/>
    <numFmt numFmtId="165" formatCode="&quot;£&quot;#,##0.00"/>
    <numFmt numFmtId="166" formatCode="0.0"/>
    <numFmt numFmtId="167" formatCode="#,##0.00_ ;\-#,##0.00\ "/>
    <numFmt numFmtId="168" formatCode="#,##0.000_ ;\-#,##0.000\ "/>
    <numFmt numFmtId="169" formatCode=";;;"/>
  </numFmts>
  <fonts count="28" x14ac:knownFonts="1">
    <font>
      <sz val="11"/>
      <color theme="1"/>
      <name val="Calibri"/>
      <family val="2"/>
      <scheme val="minor"/>
    </font>
    <font>
      <sz val="11"/>
      <color theme="1"/>
      <name val="Calibri"/>
      <family val="2"/>
      <scheme val="minor"/>
    </font>
    <font>
      <sz val="10"/>
      <color theme="1"/>
      <name val="Calibri"/>
      <family val="2"/>
      <scheme val="minor"/>
    </font>
    <font>
      <sz val="8"/>
      <name val="Calibri"/>
      <family val="2"/>
      <scheme val="minor"/>
    </font>
    <font>
      <b/>
      <sz val="10"/>
      <color theme="1"/>
      <name val="Calibri"/>
      <family val="2"/>
      <scheme val="minor"/>
    </font>
    <font>
      <b/>
      <sz val="11"/>
      <color theme="1"/>
      <name val="Calibri"/>
      <family val="2"/>
      <scheme val="minor"/>
    </font>
    <font>
      <sz val="10"/>
      <color theme="1"/>
      <name val="Segoe UI"/>
      <family val="2"/>
    </font>
    <font>
      <b/>
      <sz val="10"/>
      <color theme="1"/>
      <name val="Segoe UI"/>
      <family val="2"/>
    </font>
    <font>
      <sz val="11"/>
      <color theme="1"/>
      <name val="Segoe UI"/>
      <family val="2"/>
    </font>
    <font>
      <b/>
      <sz val="10"/>
      <name val="Segoe UI"/>
      <family val="2"/>
    </font>
    <font>
      <sz val="10"/>
      <name val="Segoe UI"/>
      <family val="2"/>
    </font>
    <font>
      <i/>
      <sz val="10"/>
      <color theme="1"/>
      <name val="Calibri"/>
      <family val="2"/>
      <scheme val="minor"/>
    </font>
    <font>
      <b/>
      <sz val="16"/>
      <color theme="1"/>
      <name val="Calibri"/>
      <family val="2"/>
      <scheme val="minor"/>
    </font>
    <font>
      <sz val="10"/>
      <color theme="0"/>
      <name val="Calibri"/>
      <family val="2"/>
      <scheme val="minor"/>
    </font>
    <font>
      <sz val="11"/>
      <color rgb="FF006100"/>
      <name val="Calibri"/>
      <family val="2"/>
      <scheme val="minor"/>
    </font>
    <font>
      <b/>
      <sz val="10"/>
      <color theme="1"/>
      <name val="Arial"/>
      <family val="2"/>
    </font>
    <font>
      <sz val="10"/>
      <name val="Calibri"/>
      <family val="2"/>
      <scheme val="minor"/>
    </font>
    <font>
      <b/>
      <sz val="11"/>
      <color theme="0"/>
      <name val="Calibri"/>
      <family val="2"/>
      <scheme val="minor"/>
    </font>
    <font>
      <b/>
      <sz val="10"/>
      <color theme="0"/>
      <name val="Calibri"/>
      <family val="2"/>
      <scheme val="minor"/>
    </font>
    <font>
      <b/>
      <sz val="10"/>
      <name val="Calibri"/>
      <family val="2"/>
      <scheme val="minor"/>
    </font>
    <font>
      <sz val="11"/>
      <color rgb="FF027977"/>
      <name val="Calibri"/>
      <family val="2"/>
      <scheme val="minor"/>
    </font>
    <font>
      <sz val="11"/>
      <color rgb="FF9C5700"/>
      <name val="Calibri"/>
      <family val="2"/>
      <scheme val="minor"/>
    </font>
    <font>
      <sz val="11"/>
      <name val="Calibri"/>
      <family val="2"/>
      <scheme val="minor"/>
    </font>
    <font>
      <b/>
      <sz val="16"/>
      <color theme="0"/>
      <name val="Calibri"/>
      <family val="2"/>
      <scheme val="minor"/>
    </font>
    <font>
      <sz val="11"/>
      <name val="Calibri"/>
      <family val="2"/>
    </font>
    <font>
      <sz val="10"/>
      <color rgb="FF000000"/>
      <name val="Calibri"/>
      <family val="2"/>
      <scheme val="minor"/>
    </font>
    <font>
      <sz val="10"/>
      <name val="Arial"/>
      <family val="2"/>
    </font>
    <font>
      <sz val="11"/>
      <color rgb="FF9C0006"/>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27977"/>
        <bgColor indexed="64"/>
      </patternFill>
    </fill>
    <fill>
      <patternFill patternType="solid">
        <fgColor theme="0" tint="-0.249977111117893"/>
        <bgColor indexed="64"/>
      </patternFill>
    </fill>
    <fill>
      <patternFill patternType="solid">
        <fgColor rgb="FFC6EFCE"/>
      </patternFill>
    </fill>
    <fill>
      <patternFill patternType="solid">
        <fgColor theme="7" tint="-0.249977111117893"/>
        <bgColor indexed="64"/>
      </patternFill>
    </fill>
    <fill>
      <patternFill patternType="solid">
        <fgColor rgb="FF3B3433"/>
        <bgColor indexed="64"/>
      </patternFill>
    </fill>
    <fill>
      <patternFill patternType="solid">
        <fgColor rgb="FFBFB6B5"/>
        <bgColor indexed="64"/>
      </patternFill>
    </fill>
    <fill>
      <patternFill patternType="solid">
        <fgColor rgb="FF66B2B2"/>
        <bgColor indexed="64"/>
      </patternFill>
    </fill>
    <fill>
      <patternFill patternType="solid">
        <fgColor rgb="FFB2D8D8"/>
        <bgColor indexed="64"/>
      </patternFill>
    </fill>
    <fill>
      <patternFill patternType="solid">
        <fgColor rgb="FFDAD5D4"/>
        <bgColor indexed="64"/>
      </patternFill>
    </fill>
    <fill>
      <patternFill patternType="solid">
        <fgColor rgb="FFFFEB9C"/>
      </patternFill>
    </fill>
    <fill>
      <patternFill patternType="solid">
        <fgColor rgb="FFFFEF9C"/>
        <bgColor indexed="64"/>
      </patternFill>
    </fill>
    <fill>
      <patternFill patternType="solid">
        <fgColor rgb="FFCCE7E6"/>
        <bgColor indexed="64"/>
      </patternFill>
    </fill>
    <fill>
      <patternFill patternType="solid">
        <fgColor rgb="FFEAE7E6"/>
        <bgColor indexed="64"/>
      </patternFill>
    </fill>
    <fill>
      <patternFill patternType="solid">
        <fgColor rgb="FFD5CECD"/>
        <bgColor indexed="64"/>
      </patternFill>
    </fill>
    <fill>
      <patternFill patternType="solid">
        <fgColor rgb="FFFFC7CE"/>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indexed="64"/>
      </bottom>
      <diagonal/>
    </border>
  </borders>
  <cellStyleXfs count="8">
    <xf numFmtId="0" fontId="0" fillId="0" borderId="0"/>
    <xf numFmtId="0" fontId="2" fillId="0" borderId="0"/>
    <xf numFmtId="43" fontId="1" fillId="0" borderId="0" applyFont="0" applyFill="0" applyBorder="0" applyAlignment="0" applyProtection="0"/>
    <xf numFmtId="0" fontId="14" fillId="18" borderId="0" applyNumberFormat="0" applyBorder="0" applyAlignment="0" applyProtection="0"/>
    <xf numFmtId="9" fontId="1" fillId="0" borderId="0" applyFont="0" applyFill="0" applyBorder="0" applyAlignment="0" applyProtection="0"/>
    <xf numFmtId="0" fontId="21" fillId="25" borderId="0" applyNumberFormat="0" applyBorder="0" applyAlignment="0" applyProtection="0"/>
    <xf numFmtId="0" fontId="24" fillId="0" borderId="0"/>
    <xf numFmtId="0" fontId="27" fillId="30" borderId="0" applyNumberFormat="0" applyBorder="0" applyAlignment="0" applyProtection="0"/>
  </cellStyleXfs>
  <cellXfs count="414">
    <xf numFmtId="0" fontId="0" fillId="0" borderId="0" xfId="0"/>
    <xf numFmtId="0" fontId="2" fillId="0" borderId="0" xfId="1"/>
    <xf numFmtId="0" fontId="1" fillId="0" borderId="0" xfId="1" applyFont="1"/>
    <xf numFmtId="0" fontId="1" fillId="0" borderId="0" xfId="0" applyFont="1"/>
    <xf numFmtId="0" fontId="4" fillId="0" borderId="0" xfId="1" applyFont="1"/>
    <xf numFmtId="0" fontId="4" fillId="0" borderId="0" xfId="1" applyFont="1" applyAlignment="1">
      <alignment vertical="center"/>
    </xf>
    <xf numFmtId="164" fontId="2" fillId="0" borderId="0" xfId="2" applyNumberFormat="1" applyFont="1"/>
    <xf numFmtId="164" fontId="2" fillId="2" borderId="0" xfId="2" applyNumberFormat="1" applyFont="1" applyFill="1"/>
    <xf numFmtId="164" fontId="4" fillId="0" borderId="0" xfId="2" applyNumberFormat="1" applyFont="1"/>
    <xf numFmtId="164" fontId="4" fillId="2" borderId="0" xfId="2" applyNumberFormat="1" applyFont="1" applyFill="1"/>
    <xf numFmtId="164" fontId="2" fillId="0" borderId="1" xfId="2" applyNumberFormat="1" applyFont="1" applyBorder="1"/>
    <xf numFmtId="164" fontId="2" fillId="0" borderId="0" xfId="2" applyNumberFormat="1" applyFont="1" applyBorder="1"/>
    <xf numFmtId="164" fontId="2" fillId="0" borderId="6" xfId="2" applyNumberFormat="1" applyFont="1" applyBorder="1"/>
    <xf numFmtId="0" fontId="4" fillId="3" borderId="6" xfId="1" applyFont="1" applyFill="1" applyBorder="1"/>
    <xf numFmtId="0" fontId="4" fillId="3" borderId="1" xfId="1" applyFont="1" applyFill="1" applyBorder="1" applyAlignment="1">
      <alignment vertical="center"/>
    </xf>
    <xf numFmtId="0" fontId="4" fillId="3" borderId="7" xfId="1" applyFont="1" applyFill="1" applyBorder="1" applyAlignment="1">
      <alignment horizontal="center" vertical="center"/>
    </xf>
    <xf numFmtId="0" fontId="4" fillId="3" borderId="2" xfId="1" applyFont="1" applyFill="1" applyBorder="1"/>
    <xf numFmtId="0" fontId="4" fillId="3" borderId="3" xfId="1" applyFont="1" applyFill="1" applyBorder="1" applyAlignment="1">
      <alignment vertical="center"/>
    </xf>
    <xf numFmtId="164" fontId="2" fillId="0" borderId="4" xfId="2" applyNumberFormat="1" applyFont="1" applyBorder="1"/>
    <xf numFmtId="0" fontId="4" fillId="3" borderId="5" xfId="1" applyFont="1" applyFill="1" applyBorder="1"/>
    <xf numFmtId="164" fontId="2" fillId="0" borderId="3" xfId="2" applyNumberFormat="1" applyFont="1" applyBorder="1"/>
    <xf numFmtId="164" fontId="2" fillId="0" borderId="5" xfId="2" applyNumberFormat="1" applyFont="1" applyBorder="1"/>
    <xf numFmtId="0" fontId="4" fillId="3" borderId="9" xfId="1" applyFont="1" applyFill="1" applyBorder="1"/>
    <xf numFmtId="0" fontId="4" fillId="3" borderId="7" xfId="1" applyFont="1" applyFill="1" applyBorder="1"/>
    <xf numFmtId="0" fontId="4" fillId="3" borderId="2" xfId="1" applyFont="1" applyFill="1" applyBorder="1" applyAlignment="1">
      <alignment horizontal="right" vertical="center"/>
    </xf>
    <xf numFmtId="0" fontId="4" fillId="3" borderId="2" xfId="1" applyFont="1" applyFill="1" applyBorder="1" applyAlignment="1">
      <alignment vertical="center"/>
    </xf>
    <xf numFmtId="0" fontId="4" fillId="3" borderId="2" xfId="1" applyFont="1" applyFill="1" applyBorder="1" applyAlignment="1">
      <alignment horizontal="center" vertical="center" wrapText="1"/>
    </xf>
    <xf numFmtId="0" fontId="0" fillId="0" borderId="0" xfId="0" pivotButton="1"/>
    <xf numFmtId="0" fontId="0" fillId="0" borderId="0" xfId="0" applyAlignment="1">
      <alignment horizontal="left"/>
    </xf>
    <xf numFmtId="0" fontId="2" fillId="0" borderId="10" xfId="1" applyBorder="1"/>
    <xf numFmtId="0" fontId="5" fillId="4" borderId="10" xfId="1" applyFont="1" applyFill="1" applyBorder="1"/>
    <xf numFmtId="0" fontId="1" fillId="5" borderId="0" xfId="1" applyFont="1" applyFill="1"/>
    <xf numFmtId="0" fontId="6" fillId="0" borderId="0" xfId="1" applyFont="1"/>
    <xf numFmtId="0" fontId="8" fillId="0" borderId="0" xfId="0" applyFont="1"/>
    <xf numFmtId="0" fontId="2" fillId="0" borderId="1" xfId="1" applyBorder="1"/>
    <xf numFmtId="0" fontId="2" fillId="0" borderId="6" xfId="1" applyBorder="1"/>
    <xf numFmtId="0" fontId="2" fillId="0" borderId="12" xfId="1" applyBorder="1"/>
    <xf numFmtId="0" fontId="2" fillId="0" borderId="11" xfId="1" applyBorder="1"/>
    <xf numFmtId="0" fontId="2" fillId="0" borderId="8" xfId="1" applyBorder="1"/>
    <xf numFmtId="0" fontId="2" fillId="0" borderId="2" xfId="1" applyBorder="1"/>
    <xf numFmtId="0" fontId="2" fillId="0" borderId="14" xfId="1" applyBorder="1"/>
    <xf numFmtId="0" fontId="2" fillId="0" borderId="15" xfId="1" applyBorder="1"/>
    <xf numFmtId="164" fontId="2" fillId="0" borderId="0" xfId="1" applyNumberFormat="1"/>
    <xf numFmtId="0" fontId="4" fillId="2" borderId="1" xfId="1" applyFont="1" applyFill="1" applyBorder="1"/>
    <xf numFmtId="0" fontId="4" fillId="2" borderId="0" xfId="1" applyFont="1" applyFill="1"/>
    <xf numFmtId="0" fontId="4" fillId="2" borderId="6" xfId="1" applyFont="1" applyFill="1" applyBorder="1"/>
    <xf numFmtId="164" fontId="2" fillId="0" borderId="12" xfId="2" applyNumberFormat="1" applyFont="1" applyBorder="1"/>
    <xf numFmtId="164" fontId="2" fillId="0" borderId="10" xfId="2" applyNumberFormat="1" applyFont="1" applyBorder="1"/>
    <xf numFmtId="164" fontId="2" fillId="0" borderId="11" xfId="2" applyNumberFormat="1" applyFont="1" applyBorder="1"/>
    <xf numFmtId="0" fontId="4" fillId="5" borderId="1" xfId="1" applyFont="1" applyFill="1" applyBorder="1"/>
    <xf numFmtId="0" fontId="4" fillId="5" borderId="0" xfId="1" applyFont="1" applyFill="1"/>
    <xf numFmtId="0" fontId="4" fillId="5" borderId="6" xfId="1" applyFont="1" applyFill="1" applyBorder="1"/>
    <xf numFmtId="0" fontId="4" fillId="7" borderId="1" xfId="1" applyFont="1" applyFill="1" applyBorder="1"/>
    <xf numFmtId="0" fontId="4" fillId="7" borderId="0" xfId="1" applyFont="1" applyFill="1"/>
    <xf numFmtId="0" fontId="4" fillId="7" borderId="6" xfId="1" applyFont="1" applyFill="1" applyBorder="1"/>
    <xf numFmtId="164" fontId="2" fillId="0" borderId="1" xfId="1" applyNumberFormat="1" applyBorder="1"/>
    <xf numFmtId="164" fontId="2" fillId="0" borderId="6" xfId="1" applyNumberFormat="1" applyBorder="1"/>
    <xf numFmtId="164" fontId="2" fillId="0" borderId="1" xfId="1" applyNumberFormat="1" applyBorder="1" applyAlignment="1">
      <alignment horizontal="right"/>
    </xf>
    <xf numFmtId="164" fontId="2" fillId="0" borderId="12" xfId="1" applyNumberFormat="1" applyBorder="1"/>
    <xf numFmtId="164" fontId="2" fillId="0" borderId="10" xfId="1" applyNumberFormat="1" applyBorder="1"/>
    <xf numFmtId="164" fontId="2" fillId="0" borderId="11" xfId="1" applyNumberFormat="1" applyBorder="1"/>
    <xf numFmtId="0" fontId="4" fillId="0" borderId="14" xfId="1" applyFont="1" applyBorder="1"/>
    <xf numFmtId="0" fontId="4" fillId="0" borderId="15" xfId="1" applyFont="1" applyBorder="1"/>
    <xf numFmtId="0" fontId="8" fillId="7" borderId="0" xfId="0" applyFont="1" applyFill="1"/>
    <xf numFmtId="0" fontId="7" fillId="10" borderId="10" xfId="0" applyFont="1" applyFill="1" applyBorder="1"/>
    <xf numFmtId="0" fontId="7" fillId="10" borderId="10" xfId="1" applyFont="1" applyFill="1" applyBorder="1"/>
    <xf numFmtId="0" fontId="7" fillId="10" borderId="0" xfId="1" applyFont="1" applyFill="1"/>
    <xf numFmtId="0" fontId="2" fillId="12" borderId="0" xfId="1" applyFill="1"/>
    <xf numFmtId="0" fontId="0" fillId="12" borderId="0" xfId="0" applyFill="1"/>
    <xf numFmtId="0" fontId="6" fillId="0" borderId="0" xfId="1" applyFont="1" applyAlignment="1">
      <alignment horizontal="right"/>
    </xf>
    <xf numFmtId="41" fontId="6" fillId="0" borderId="6" xfId="1" applyNumberFormat="1" applyFont="1" applyBorder="1" applyAlignment="1">
      <alignment horizontal="right"/>
    </xf>
    <xf numFmtId="0" fontId="9" fillId="14" borderId="2" xfId="1" applyFont="1" applyFill="1" applyBorder="1" applyAlignment="1">
      <alignment horizontal="center"/>
    </xf>
    <xf numFmtId="0" fontId="9" fillId="14" borderId="9" xfId="1" applyFont="1" applyFill="1" applyBorder="1" applyAlignment="1">
      <alignment horizontal="center"/>
    </xf>
    <xf numFmtId="0" fontId="12" fillId="3" borderId="3" xfId="1" applyFont="1" applyFill="1" applyBorder="1"/>
    <xf numFmtId="0" fontId="12" fillId="3" borderId="4" xfId="1" applyFont="1" applyFill="1" applyBorder="1"/>
    <xf numFmtId="0" fontId="2" fillId="3" borderId="4" xfId="1" applyFill="1" applyBorder="1"/>
    <xf numFmtId="0" fontId="2" fillId="3" borderId="5" xfId="1" applyFill="1" applyBorder="1"/>
    <xf numFmtId="0" fontId="12" fillId="3" borderId="1" xfId="1" applyFont="1" applyFill="1" applyBorder="1"/>
    <xf numFmtId="0" fontId="2" fillId="3" borderId="6" xfId="1" applyFill="1" applyBorder="1"/>
    <xf numFmtId="0" fontId="2" fillId="3" borderId="0" xfId="1" applyFill="1"/>
    <xf numFmtId="0" fontId="2" fillId="3" borderId="1" xfId="1" applyFill="1" applyBorder="1"/>
    <xf numFmtId="0" fontId="5" fillId="3" borderId="10" xfId="1" applyFont="1" applyFill="1" applyBorder="1"/>
    <xf numFmtId="0" fontId="4" fillId="3" borderId="10" xfId="1" applyFont="1" applyFill="1" applyBorder="1"/>
    <xf numFmtId="0" fontId="2" fillId="3" borderId="14" xfId="1" applyFill="1" applyBorder="1"/>
    <xf numFmtId="0" fontId="1" fillId="3" borderId="10" xfId="1" applyFont="1" applyFill="1" applyBorder="1"/>
    <xf numFmtId="14" fontId="2" fillId="0" borderId="0" xfId="1" applyNumberFormat="1"/>
    <xf numFmtId="0" fontId="2" fillId="0" borderId="0" xfId="1" applyAlignment="1">
      <alignment horizontal="right"/>
    </xf>
    <xf numFmtId="165" fontId="2" fillId="0" borderId="0" xfId="1" applyNumberFormat="1" applyAlignment="1">
      <alignment horizontal="right"/>
    </xf>
    <xf numFmtId="0" fontId="4" fillId="0" borderId="10" xfId="1" applyFont="1" applyBorder="1"/>
    <xf numFmtId="0" fontId="4" fillId="0" borderId="10" xfId="1" applyFont="1" applyBorder="1" applyAlignment="1">
      <alignment wrapText="1"/>
    </xf>
    <xf numFmtId="0" fontId="4" fillId="0" borderId="10" xfId="1" applyFont="1" applyBorder="1" applyAlignment="1">
      <alignment horizontal="right" wrapText="1"/>
    </xf>
    <xf numFmtId="0" fontId="4" fillId="0" borderId="10" xfId="1" applyFont="1" applyBorder="1" applyAlignment="1">
      <alignment horizontal="right"/>
    </xf>
    <xf numFmtId="165" fontId="4" fillId="0" borderId="10" xfId="1" applyNumberFormat="1" applyFont="1" applyBorder="1" applyAlignment="1">
      <alignment horizontal="right" wrapText="1"/>
    </xf>
    <xf numFmtId="0" fontId="4" fillId="0" borderId="11" xfId="1" applyFont="1" applyBorder="1"/>
    <xf numFmtId="0" fontId="4" fillId="0" borderId="22" xfId="1" applyFont="1" applyBorder="1"/>
    <xf numFmtId="0" fontId="2" fillId="17" borderId="13" xfId="1" applyFill="1" applyBorder="1"/>
    <xf numFmtId="0" fontId="4" fillId="17" borderId="14" xfId="1" applyFont="1" applyFill="1" applyBorder="1"/>
    <xf numFmtId="0" fontId="2" fillId="17" borderId="14" xfId="1" applyFill="1" applyBorder="1"/>
    <xf numFmtId="0" fontId="2" fillId="17" borderId="15" xfId="1" applyFill="1" applyBorder="1"/>
    <xf numFmtId="0" fontId="2" fillId="3" borderId="10" xfId="1" applyFill="1" applyBorder="1"/>
    <xf numFmtId="0" fontId="1" fillId="3" borderId="0" xfId="1" applyFont="1" applyFill="1"/>
    <xf numFmtId="0" fontId="2" fillId="3" borderId="11" xfId="1" applyFill="1" applyBorder="1"/>
    <xf numFmtId="0" fontId="2" fillId="3" borderId="12" xfId="1" applyFill="1" applyBorder="1"/>
    <xf numFmtId="0" fontId="5" fillId="3" borderId="0" xfId="1" applyFont="1" applyFill="1"/>
    <xf numFmtId="0" fontId="13" fillId="16" borderId="3" xfId="1" applyFont="1" applyFill="1" applyBorder="1"/>
    <xf numFmtId="0" fontId="13" fillId="16" borderId="4" xfId="1" applyFont="1" applyFill="1" applyBorder="1"/>
    <xf numFmtId="0" fontId="13" fillId="16" borderId="5" xfId="1" applyFont="1" applyFill="1" applyBorder="1"/>
    <xf numFmtId="2" fontId="2" fillId="0" borderId="0" xfId="1" applyNumberFormat="1"/>
    <xf numFmtId="0" fontId="10" fillId="0" borderId="1" xfId="1" applyFont="1" applyBorder="1" applyAlignment="1">
      <alignment horizontal="right"/>
    </xf>
    <xf numFmtId="0" fontId="10" fillId="0" borderId="14" xfId="1" applyFont="1" applyBorder="1"/>
    <xf numFmtId="165" fontId="10" fillId="0" borderId="14" xfId="1" applyNumberFormat="1" applyFont="1" applyBorder="1" applyAlignment="1">
      <alignment horizontal="right"/>
    </xf>
    <xf numFmtId="41" fontId="10" fillId="0" borderId="14" xfId="1" applyNumberFormat="1" applyFont="1" applyBorder="1" applyAlignment="1">
      <alignment horizontal="right"/>
    </xf>
    <xf numFmtId="41" fontId="6" fillId="0" borderId="11" xfId="1" applyNumberFormat="1" applyFont="1" applyBorder="1" applyAlignment="1">
      <alignment horizontal="right"/>
    </xf>
    <xf numFmtId="8" fontId="10" fillId="0" borderId="14" xfId="1" applyNumberFormat="1" applyFont="1" applyBorder="1" applyAlignment="1">
      <alignment horizontal="right"/>
    </xf>
    <xf numFmtId="41" fontId="10" fillId="0" borderId="15" xfId="1" applyNumberFormat="1" applyFont="1" applyBorder="1" applyAlignment="1">
      <alignment horizontal="right"/>
    </xf>
    <xf numFmtId="0" fontId="10" fillId="0" borderId="3" xfId="1" applyFont="1" applyBorder="1" applyAlignment="1">
      <alignment horizontal="right"/>
    </xf>
    <xf numFmtId="0" fontId="10" fillId="0" borderId="13" xfId="1" applyFont="1" applyBorder="1"/>
    <xf numFmtId="165" fontId="10" fillId="0" borderId="13" xfId="1" applyNumberFormat="1" applyFont="1" applyBorder="1" applyAlignment="1">
      <alignment horizontal="right"/>
    </xf>
    <xf numFmtId="43" fontId="10" fillId="0" borderId="13" xfId="1" applyNumberFormat="1" applyFont="1" applyBorder="1" applyAlignment="1">
      <alignment horizontal="right"/>
    </xf>
    <xf numFmtId="41" fontId="10" fillId="0" borderId="13" xfId="1" applyNumberFormat="1" applyFont="1" applyBorder="1" applyAlignment="1">
      <alignment horizontal="right"/>
    </xf>
    <xf numFmtId="43" fontId="10" fillId="0" borderId="14" xfId="1" applyNumberFormat="1" applyFont="1" applyBorder="1" applyAlignment="1">
      <alignment horizontal="right"/>
    </xf>
    <xf numFmtId="166" fontId="10" fillId="0" borderId="14" xfId="1" applyNumberFormat="1" applyFont="1" applyBorder="1" applyAlignment="1">
      <alignment horizontal="right"/>
    </xf>
    <xf numFmtId="166" fontId="6" fillId="0" borderId="6" xfId="1" applyNumberFormat="1" applyFont="1" applyBorder="1" applyAlignment="1">
      <alignment horizontal="right"/>
    </xf>
    <xf numFmtId="6" fontId="10" fillId="0" borderId="14" xfId="1" applyNumberFormat="1" applyFont="1" applyBorder="1" applyAlignment="1">
      <alignment horizontal="right"/>
    </xf>
    <xf numFmtId="167" fontId="6" fillId="0" borderId="6" xfId="1" applyNumberFormat="1" applyFont="1" applyBorder="1" applyAlignment="1">
      <alignment horizontal="right"/>
    </xf>
    <xf numFmtId="43" fontId="6" fillId="0" borderId="6" xfId="1" applyNumberFormat="1" applyFont="1" applyBorder="1" applyAlignment="1">
      <alignment horizontal="right"/>
    </xf>
    <xf numFmtId="168" fontId="6" fillId="0" borderId="6" xfId="1" applyNumberFormat="1" applyFont="1" applyBorder="1" applyAlignment="1">
      <alignment horizontal="right"/>
    </xf>
    <xf numFmtId="0" fontId="10" fillId="0" borderId="12" xfId="1" applyFont="1" applyBorder="1" applyAlignment="1">
      <alignment horizontal="right"/>
    </xf>
    <xf numFmtId="0" fontId="10" fillId="0" borderId="15" xfId="1" applyFont="1" applyBorder="1"/>
    <xf numFmtId="165" fontId="10" fillId="0" borderId="15" xfId="1" applyNumberFormat="1" applyFont="1" applyBorder="1" applyAlignment="1">
      <alignment horizontal="right"/>
    </xf>
    <xf numFmtId="0" fontId="4" fillId="17" borderId="15" xfId="1" applyFont="1" applyFill="1" applyBorder="1"/>
    <xf numFmtId="0" fontId="1" fillId="3" borderId="1" xfId="1" applyFont="1" applyFill="1" applyBorder="1"/>
    <xf numFmtId="0" fontId="5" fillId="3" borderId="1" xfId="1" applyFont="1" applyFill="1" applyBorder="1" applyAlignment="1">
      <alignment horizontal="right" vertical="top"/>
    </xf>
    <xf numFmtId="0" fontId="5" fillId="3" borderId="1" xfId="1" applyFont="1" applyFill="1" applyBorder="1"/>
    <xf numFmtId="169" fontId="2" fillId="8" borderId="3" xfId="1" applyNumberFormat="1" applyFill="1" applyBorder="1"/>
    <xf numFmtId="169" fontId="2" fillId="8" borderId="4" xfId="1" applyNumberFormat="1" applyFill="1" applyBorder="1"/>
    <xf numFmtId="169" fontId="2" fillId="8" borderId="5" xfId="1" applyNumberFormat="1" applyFill="1" applyBorder="1"/>
    <xf numFmtId="169" fontId="2" fillId="8" borderId="1" xfId="1" applyNumberFormat="1" applyFill="1" applyBorder="1"/>
    <xf numFmtId="169" fontId="2" fillId="8" borderId="6" xfId="1" applyNumberFormat="1" applyFill="1" applyBorder="1"/>
    <xf numFmtId="169" fontId="2" fillId="8" borderId="12" xfId="1" applyNumberFormat="1" applyFill="1" applyBorder="1"/>
    <xf numFmtId="169" fontId="2" fillId="8" borderId="10" xfId="1" applyNumberFormat="1" applyFill="1" applyBorder="1"/>
    <xf numFmtId="169" fontId="2" fillId="8" borderId="11" xfId="1" applyNumberFormat="1" applyFill="1" applyBorder="1"/>
    <xf numFmtId="0" fontId="5" fillId="3" borderId="0" xfId="1" applyFont="1" applyFill="1" applyAlignment="1">
      <alignment horizontal="center" vertical="center" wrapText="1"/>
    </xf>
    <xf numFmtId="0" fontId="15" fillId="3" borderId="0" xfId="1" applyFont="1" applyFill="1"/>
    <xf numFmtId="169" fontId="2" fillId="3" borderId="0" xfId="1" applyNumberFormat="1" applyFill="1"/>
    <xf numFmtId="0" fontId="5" fillId="3" borderId="4" xfId="1" applyFont="1" applyFill="1" applyBorder="1" applyAlignment="1">
      <alignment horizontal="center" vertical="center" wrapText="1"/>
    </xf>
    <xf numFmtId="0" fontId="6" fillId="3" borderId="1" xfId="1" applyFont="1" applyFill="1" applyBorder="1" applyAlignment="1">
      <alignment horizontal="right"/>
    </xf>
    <xf numFmtId="0" fontId="6" fillId="3" borderId="12" xfId="1" applyFont="1" applyFill="1" applyBorder="1" applyAlignment="1">
      <alignment horizontal="right"/>
    </xf>
    <xf numFmtId="0" fontId="1" fillId="0" borderId="14" xfId="1" applyFont="1" applyBorder="1" applyAlignment="1">
      <alignment horizontal="center"/>
    </xf>
    <xf numFmtId="0" fontId="1" fillId="0" borderId="15" xfId="1" applyFont="1" applyBorder="1" applyAlignment="1">
      <alignment horizontal="center"/>
    </xf>
    <xf numFmtId="0" fontId="5" fillId="3" borderId="6" xfId="1" applyFont="1" applyFill="1" applyBorder="1" applyAlignment="1">
      <alignment horizontal="right" vertical="center"/>
    </xf>
    <xf numFmtId="0" fontId="6" fillId="3" borderId="1" xfId="1" applyFont="1" applyFill="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2" fillId="3" borderId="0" xfId="1" applyFill="1" applyAlignment="1">
      <alignment horizontal="center" vertical="center"/>
    </xf>
    <xf numFmtId="0" fontId="2" fillId="3" borderId="6" xfId="1" applyFill="1" applyBorder="1" applyAlignment="1">
      <alignment horizontal="center" vertical="center"/>
    </xf>
    <xf numFmtId="0" fontId="2" fillId="0" borderId="0" xfId="1" applyAlignment="1">
      <alignment horizontal="center" vertical="center"/>
    </xf>
    <xf numFmtId="0" fontId="1" fillId="0" borderId="13" xfId="1" applyFont="1" applyBorder="1" applyAlignment="1">
      <alignment horizontal="center"/>
    </xf>
    <xf numFmtId="164" fontId="2" fillId="3" borderId="19" xfId="1" applyNumberFormat="1" applyFill="1" applyBorder="1"/>
    <xf numFmtId="0" fontId="2" fillId="3" borderId="21" xfId="1" applyFill="1" applyBorder="1"/>
    <xf numFmtId="0" fontId="2" fillId="3" borderId="3" xfId="1" applyFill="1" applyBorder="1"/>
    <xf numFmtId="0" fontId="13" fillId="3" borderId="0" xfId="1" applyFont="1" applyFill="1"/>
    <xf numFmtId="49" fontId="4" fillId="3" borderId="0" xfId="1" applyNumberFormat="1" applyFont="1" applyFill="1" applyAlignment="1">
      <alignment horizontal="center" vertical="center"/>
    </xf>
    <xf numFmtId="0" fontId="12" fillId="3" borderId="0" xfId="1" applyFont="1" applyFill="1"/>
    <xf numFmtId="0" fontId="4" fillId="3" borderId="0" xfId="1" applyFont="1" applyFill="1"/>
    <xf numFmtId="165" fontId="2" fillId="3" borderId="6" xfId="1" applyNumberFormat="1" applyFill="1" applyBorder="1"/>
    <xf numFmtId="0" fontId="2" fillId="21" borderId="3" xfId="1" applyFill="1" applyBorder="1"/>
    <xf numFmtId="0" fontId="2" fillId="21" borderId="4" xfId="1" applyFill="1" applyBorder="1"/>
    <xf numFmtId="0" fontId="2" fillId="21" borderId="5" xfId="1" applyFill="1" applyBorder="1"/>
    <xf numFmtId="0" fontId="2" fillId="16" borderId="13" xfId="1" applyFill="1" applyBorder="1"/>
    <xf numFmtId="0" fontId="2" fillId="16" borderId="14" xfId="1" applyFill="1" applyBorder="1"/>
    <xf numFmtId="0" fontId="2" fillId="16" borderId="15" xfId="1" applyFill="1" applyBorder="1"/>
    <xf numFmtId="0" fontId="2" fillId="23" borderId="3" xfId="1" applyFill="1" applyBorder="1"/>
    <xf numFmtId="0" fontId="2" fillId="23" borderId="1" xfId="1" applyFill="1" applyBorder="1"/>
    <xf numFmtId="0" fontId="2" fillId="23" borderId="12" xfId="1" applyFill="1" applyBorder="1"/>
    <xf numFmtId="0" fontId="13" fillId="20" borderId="9" xfId="1" applyFont="1" applyFill="1" applyBorder="1" applyAlignment="1">
      <alignment wrapText="1"/>
    </xf>
    <xf numFmtId="0" fontId="13" fillId="20" borderId="8" xfId="1" applyFont="1" applyFill="1" applyBorder="1" applyAlignment="1">
      <alignment horizontal="center" vertical="center"/>
    </xf>
    <xf numFmtId="0" fontId="13" fillId="20" borderId="9" xfId="1" applyFont="1" applyFill="1" applyBorder="1" applyAlignment="1">
      <alignment vertical="center"/>
    </xf>
    <xf numFmtId="0" fontId="2" fillId="20" borderId="7" xfId="1" applyFill="1" applyBorder="1"/>
    <xf numFmtId="0" fontId="2" fillId="20" borderId="8" xfId="1" applyFill="1" applyBorder="1"/>
    <xf numFmtId="0" fontId="17" fillId="20" borderId="2" xfId="1" applyFont="1" applyFill="1" applyBorder="1" applyAlignment="1">
      <alignment horizontal="center" vertical="center"/>
    </xf>
    <xf numFmtId="0" fontId="17" fillId="20" borderId="13" xfId="1" applyFont="1" applyFill="1" applyBorder="1" applyAlignment="1">
      <alignment horizontal="center" vertical="center"/>
    </xf>
    <xf numFmtId="0" fontId="17" fillId="20" borderId="13" xfId="1" applyFont="1" applyFill="1" applyBorder="1" applyAlignment="1">
      <alignment horizontal="center" vertical="center" wrapText="1"/>
    </xf>
    <xf numFmtId="0" fontId="4" fillId="16" borderId="1" xfId="1" applyFont="1" applyFill="1" applyBorder="1"/>
    <xf numFmtId="0" fontId="4" fillId="16" borderId="12" xfId="1" applyFont="1" applyFill="1" applyBorder="1"/>
    <xf numFmtId="0" fontId="2" fillId="16" borderId="5" xfId="1" applyFill="1" applyBorder="1"/>
    <xf numFmtId="0" fontId="2" fillId="16" borderId="6" xfId="1" applyFill="1" applyBorder="1"/>
    <xf numFmtId="0" fontId="2" fillId="16" borderId="11" xfId="1" applyFill="1" applyBorder="1"/>
    <xf numFmtId="0" fontId="4" fillId="22" borderId="13" xfId="1" applyFont="1" applyFill="1" applyBorder="1"/>
    <xf numFmtId="0" fontId="2" fillId="22" borderId="13" xfId="1" applyFill="1" applyBorder="1"/>
    <xf numFmtId="0" fontId="4" fillId="22" borderId="14" xfId="1" applyFont="1" applyFill="1" applyBorder="1"/>
    <xf numFmtId="0" fontId="2" fillId="22" borderId="14" xfId="1" applyFill="1" applyBorder="1"/>
    <xf numFmtId="0" fontId="4" fillId="22" borderId="15" xfId="1" applyFont="1" applyFill="1" applyBorder="1"/>
    <xf numFmtId="0" fontId="2" fillId="22" borderId="15" xfId="1" applyFill="1" applyBorder="1"/>
    <xf numFmtId="0" fontId="4" fillId="24" borderId="14" xfId="1" applyFont="1" applyFill="1" applyBorder="1"/>
    <xf numFmtId="0" fontId="2" fillId="24" borderId="13" xfId="1" applyFill="1" applyBorder="1"/>
    <xf numFmtId="0" fontId="2" fillId="24" borderId="14" xfId="1" applyFill="1" applyBorder="1"/>
    <xf numFmtId="0" fontId="2" fillId="24" borderId="15" xfId="1" applyFill="1" applyBorder="1"/>
    <xf numFmtId="0" fontId="4" fillId="23" borderId="13" xfId="1" applyFont="1" applyFill="1" applyBorder="1"/>
    <xf numFmtId="0" fontId="2" fillId="23" borderId="13" xfId="1" applyFill="1" applyBorder="1"/>
    <xf numFmtId="0" fontId="2" fillId="23" borderId="6" xfId="1" applyFill="1" applyBorder="1"/>
    <xf numFmtId="0" fontId="4" fillId="23" borderId="15" xfId="1" applyFont="1" applyFill="1" applyBorder="1"/>
    <xf numFmtId="0" fontId="2" fillId="23" borderId="15" xfId="1" applyFill="1" applyBorder="1"/>
    <xf numFmtId="0" fontId="2" fillId="23" borderId="11" xfId="1" applyFill="1" applyBorder="1"/>
    <xf numFmtId="0" fontId="6" fillId="3" borderId="0" xfId="1" applyFont="1" applyFill="1"/>
    <xf numFmtId="0" fontId="6" fillId="3" borderId="0" xfId="1" applyFont="1" applyFill="1" applyAlignment="1">
      <alignment horizontal="right"/>
    </xf>
    <xf numFmtId="0" fontId="6" fillId="3" borderId="10" xfId="1" applyFont="1" applyFill="1" applyBorder="1" applyAlignment="1">
      <alignment horizontal="right"/>
    </xf>
    <xf numFmtId="0" fontId="6" fillId="3" borderId="10" xfId="1" applyFont="1" applyFill="1" applyBorder="1"/>
    <xf numFmtId="0" fontId="6" fillId="3" borderId="6" xfId="1" applyFont="1" applyFill="1" applyBorder="1"/>
    <xf numFmtId="0" fontId="6" fillId="3" borderId="11" xfId="1" applyFont="1" applyFill="1" applyBorder="1"/>
    <xf numFmtId="164" fontId="2" fillId="23" borderId="20" xfId="2" applyNumberFormat="1" applyFont="1" applyFill="1" applyBorder="1" applyAlignment="1"/>
    <xf numFmtId="0" fontId="4" fillId="24" borderId="3" xfId="1" applyFont="1" applyFill="1" applyBorder="1" applyAlignment="1">
      <alignment horizontal="center" vertical="center" wrapText="1"/>
    </xf>
    <xf numFmtId="0" fontId="4" fillId="24" borderId="13" xfId="1" applyFont="1" applyFill="1" applyBorder="1" applyAlignment="1">
      <alignment horizontal="center" vertical="center" wrapText="1"/>
    </xf>
    <xf numFmtId="0" fontId="4" fillId="24" borderId="16" xfId="1" applyFont="1" applyFill="1" applyBorder="1" applyAlignment="1">
      <alignment horizontal="center" vertical="center" wrapText="1"/>
    </xf>
    <xf numFmtId="0" fontId="4" fillId="24" borderId="2" xfId="1" applyFont="1" applyFill="1" applyBorder="1" applyAlignment="1">
      <alignment vertical="center" wrapText="1"/>
    </xf>
    <xf numFmtId="0" fontId="18" fillId="20" borderId="13" xfId="1" applyFont="1" applyFill="1" applyBorder="1"/>
    <xf numFmtId="0" fontId="18" fillId="20" borderId="14" xfId="1" applyFont="1" applyFill="1" applyBorder="1"/>
    <xf numFmtId="0" fontId="18" fillId="20" borderId="15" xfId="1" applyFont="1" applyFill="1" applyBorder="1"/>
    <xf numFmtId="0" fontId="2" fillId="24" borderId="18" xfId="1" applyFill="1" applyBorder="1"/>
    <xf numFmtId="164" fontId="2" fillId="24" borderId="20" xfId="2" applyNumberFormat="1" applyFont="1" applyFill="1" applyBorder="1" applyAlignment="1"/>
    <xf numFmtId="0" fontId="2" fillId="24" borderId="23" xfId="1" applyFill="1" applyBorder="1"/>
    <xf numFmtId="0" fontId="2" fillId="24" borderId="24" xfId="1" applyFill="1" applyBorder="1"/>
    <xf numFmtId="0" fontId="2" fillId="23" borderId="18" xfId="1" applyFill="1" applyBorder="1"/>
    <xf numFmtId="0" fontId="2" fillId="23" borderId="23" xfId="1" applyFill="1" applyBorder="1"/>
    <xf numFmtId="0" fontId="2" fillId="23" borderId="24" xfId="1" applyFill="1" applyBorder="1"/>
    <xf numFmtId="164" fontId="2" fillId="23" borderId="17" xfId="2" applyNumberFormat="1" applyFont="1" applyFill="1" applyBorder="1" applyAlignment="1"/>
    <xf numFmtId="0" fontId="18" fillId="16" borderId="13" xfId="1" applyFont="1" applyFill="1" applyBorder="1"/>
    <xf numFmtId="0" fontId="18" fillId="16" borderId="14" xfId="1" applyFont="1" applyFill="1" applyBorder="1"/>
    <xf numFmtId="0" fontId="18" fillId="16" borderId="15" xfId="1" applyFont="1" applyFill="1" applyBorder="1"/>
    <xf numFmtId="0" fontId="20" fillId="23" borderId="9" xfId="3" applyFont="1" applyFill="1" applyBorder="1"/>
    <xf numFmtId="15" fontId="20" fillId="23" borderId="8" xfId="3" applyNumberFormat="1" applyFont="1" applyFill="1" applyBorder="1"/>
    <xf numFmtId="164" fontId="2" fillId="3" borderId="0" xfId="2" applyNumberFormat="1" applyFont="1" applyFill="1" applyBorder="1"/>
    <xf numFmtId="169" fontId="2" fillId="8" borderId="0" xfId="1" applyNumberFormat="1" applyFill="1"/>
    <xf numFmtId="3" fontId="16" fillId="0" borderId="14" xfId="1" applyNumberFormat="1" applyFont="1" applyBorder="1" applyAlignment="1">
      <alignment horizontal="right"/>
    </xf>
    <xf numFmtId="3" fontId="16" fillId="19" borderId="14" xfId="1" applyNumberFormat="1" applyFont="1" applyFill="1" applyBorder="1" applyAlignment="1">
      <alignment horizontal="right"/>
    </xf>
    <xf numFmtId="3" fontId="2" fillId="0" borderId="6" xfId="1" applyNumberFormat="1" applyBorder="1"/>
    <xf numFmtId="3" fontId="2" fillId="0" borderId="6" xfId="1" applyNumberFormat="1" applyBorder="1" applyAlignment="1">
      <alignment horizontal="right"/>
    </xf>
    <xf numFmtId="3" fontId="16" fillId="19" borderId="15" xfId="1" applyNumberFormat="1" applyFont="1" applyFill="1" applyBorder="1" applyAlignment="1">
      <alignment horizontal="right"/>
    </xf>
    <xf numFmtId="3" fontId="2" fillId="0" borderId="11" xfId="1" applyNumberFormat="1" applyBorder="1" applyAlignment="1">
      <alignment horizontal="right"/>
    </xf>
    <xf numFmtId="3" fontId="2" fillId="0" borderId="11" xfId="1" applyNumberFormat="1" applyBorder="1"/>
    <xf numFmtId="164" fontId="2" fillId="0" borderId="2" xfId="2" applyNumberFormat="1" applyFont="1" applyBorder="1"/>
    <xf numFmtId="164" fontId="2" fillId="3" borderId="0" xfId="2" applyNumberFormat="1" applyFont="1" applyFill="1"/>
    <xf numFmtId="0" fontId="20" fillId="23" borderId="7" xfId="3" applyFont="1" applyFill="1" applyBorder="1"/>
    <xf numFmtId="164" fontId="4" fillId="0" borderId="2" xfId="2" applyNumberFormat="1" applyFont="1" applyBorder="1"/>
    <xf numFmtId="0" fontId="19" fillId="21" borderId="13" xfId="1" applyFont="1" applyFill="1" applyBorder="1" applyAlignment="1">
      <alignment horizontal="center"/>
    </xf>
    <xf numFmtId="0" fontId="19" fillId="21" borderId="3" xfId="1" applyFont="1" applyFill="1" applyBorder="1" applyAlignment="1">
      <alignment horizontal="center"/>
    </xf>
    <xf numFmtId="0" fontId="16" fillId="0" borderId="4" xfId="1" applyFont="1" applyBorder="1" applyAlignment="1">
      <alignment horizontal="left" vertical="center"/>
    </xf>
    <xf numFmtId="0" fontId="16" fillId="0" borderId="13" xfId="1" applyFont="1" applyBorder="1" applyAlignment="1">
      <alignment horizontal="right" vertical="center"/>
    </xf>
    <xf numFmtId="0" fontId="16" fillId="0" borderId="3" xfId="1" applyFont="1" applyBorder="1" applyAlignment="1">
      <alignment horizontal="right"/>
    </xf>
    <xf numFmtId="0" fontId="16" fillId="0" borderId="3" xfId="1" applyFont="1" applyBorder="1" applyAlignment="1">
      <alignment horizontal="right" wrapText="1"/>
    </xf>
    <xf numFmtId="0" fontId="16" fillId="0" borderId="13" xfId="1" applyFont="1" applyBorder="1" applyAlignment="1">
      <alignment horizontal="right"/>
    </xf>
    <xf numFmtId="4" fontId="16" fillId="0" borderId="4" xfId="1" applyNumberFormat="1" applyFont="1" applyBorder="1" applyAlignment="1">
      <alignment horizontal="right" vertical="center"/>
    </xf>
    <xf numFmtId="4" fontId="16" fillId="0" borderId="3" xfId="1" applyNumberFormat="1" applyFont="1" applyBorder="1" applyAlignment="1">
      <alignment horizontal="right"/>
    </xf>
    <xf numFmtId="4" fontId="2" fillId="0" borderId="0" xfId="1" applyNumberFormat="1" applyAlignment="1">
      <alignment horizontal="right"/>
    </xf>
    <xf numFmtId="4" fontId="16" fillId="0" borderId="14" xfId="1" applyNumberFormat="1" applyFont="1" applyBorder="1" applyAlignment="1">
      <alignment horizontal="right"/>
    </xf>
    <xf numFmtId="4" fontId="2" fillId="0" borderId="10" xfId="1" applyNumberFormat="1" applyBorder="1" applyAlignment="1">
      <alignment horizontal="right"/>
    </xf>
    <xf numFmtId="4" fontId="16" fillId="0" borderId="15" xfId="1" applyNumberFormat="1" applyFont="1" applyBorder="1" applyAlignment="1">
      <alignment horizontal="right"/>
    </xf>
    <xf numFmtId="0" fontId="4" fillId="0" borderId="2" xfId="1" applyFont="1" applyBorder="1" applyAlignment="1">
      <alignment horizontal="center"/>
    </xf>
    <xf numFmtId="0" fontId="4" fillId="3" borderId="4" xfId="1" applyFont="1" applyFill="1" applyBorder="1"/>
    <xf numFmtId="0" fontId="4" fillId="3" borderId="9" xfId="1" applyFont="1" applyFill="1" applyBorder="1" applyAlignment="1">
      <alignment vertical="center"/>
    </xf>
    <xf numFmtId="0" fontId="4" fillId="3" borderId="8" xfId="1" applyFont="1" applyFill="1" applyBorder="1" applyAlignment="1">
      <alignment horizontal="center" vertical="center" wrapText="1"/>
    </xf>
    <xf numFmtId="0" fontId="2" fillId="3" borderId="0" xfId="1" applyFill="1" applyAlignment="1">
      <alignment horizontal="center"/>
    </xf>
    <xf numFmtId="0" fontId="2" fillId="3" borderId="9" xfId="1" applyFill="1" applyBorder="1" applyAlignment="1">
      <alignment vertical="center"/>
    </xf>
    <xf numFmtId="0" fontId="2" fillId="3" borderId="2" xfId="1" applyFill="1" applyBorder="1"/>
    <xf numFmtId="164" fontId="2" fillId="8" borderId="3" xfId="2" applyNumberFormat="1" applyFont="1" applyFill="1" applyBorder="1"/>
    <xf numFmtId="164" fontId="2" fillId="8" borderId="4" xfId="2" applyNumberFormat="1" applyFont="1" applyFill="1" applyBorder="1"/>
    <xf numFmtId="164" fontId="2" fillId="8" borderId="5" xfId="2" applyNumberFormat="1" applyFont="1" applyFill="1" applyBorder="1"/>
    <xf numFmtId="164" fontId="2" fillId="8" borderId="1" xfId="2" applyNumberFormat="1" applyFont="1" applyFill="1" applyBorder="1"/>
    <xf numFmtId="164" fontId="2" fillId="8" borderId="0" xfId="2" applyNumberFormat="1" applyFont="1" applyFill="1" applyBorder="1"/>
    <xf numFmtId="164" fontId="2" fillId="8" borderId="6" xfId="2" applyNumberFormat="1" applyFont="1" applyFill="1" applyBorder="1"/>
    <xf numFmtId="164" fontId="2" fillId="8" borderId="12" xfId="2" applyNumberFormat="1" applyFont="1" applyFill="1" applyBorder="1"/>
    <xf numFmtId="164" fontId="2" fillId="8" borderId="10" xfId="2" applyNumberFormat="1" applyFont="1" applyFill="1" applyBorder="1"/>
    <xf numFmtId="164" fontId="2" fillId="8" borderId="11" xfId="2" applyNumberFormat="1" applyFont="1" applyFill="1" applyBorder="1"/>
    <xf numFmtId="164" fontId="2" fillId="3" borderId="2" xfId="2" applyNumberFormat="1" applyFont="1" applyFill="1" applyBorder="1"/>
    <xf numFmtId="164" fontId="2" fillId="3" borderId="2" xfId="2" applyNumberFormat="1" applyFont="1" applyFill="1" applyBorder="1" applyAlignment="1">
      <alignment horizontal="left" vertical="center"/>
    </xf>
    <xf numFmtId="9" fontId="4" fillId="26" borderId="2" xfId="4" applyFont="1" applyFill="1" applyBorder="1" applyAlignment="1">
      <alignment vertical="center"/>
    </xf>
    <xf numFmtId="0" fontId="4" fillId="3" borderId="13" xfId="1" applyFont="1" applyFill="1" applyBorder="1"/>
    <xf numFmtId="164" fontId="2" fillId="3" borderId="8" xfId="2" applyNumberFormat="1" applyFont="1" applyFill="1" applyBorder="1"/>
    <xf numFmtId="9" fontId="2" fillId="3" borderId="2" xfId="4" applyFont="1" applyFill="1" applyBorder="1"/>
    <xf numFmtId="15" fontId="22" fillId="3" borderId="4" xfId="5" applyNumberFormat="1" applyFont="1" applyFill="1" applyBorder="1"/>
    <xf numFmtId="15" fontId="22" fillId="3" borderId="0" xfId="5" applyNumberFormat="1" applyFont="1" applyFill="1" applyBorder="1"/>
    <xf numFmtId="0" fontId="2" fillId="0" borderId="9" xfId="1" applyBorder="1" applyAlignment="1">
      <alignment horizontal="center"/>
    </xf>
    <xf numFmtId="0" fontId="2" fillId="0" borderId="9" xfId="1" applyBorder="1" applyAlignment="1">
      <alignment horizontal="center" vertical="top"/>
    </xf>
    <xf numFmtId="0" fontId="2" fillId="0" borderId="2" xfId="1" applyBorder="1" applyAlignment="1">
      <alignment horizontal="center"/>
    </xf>
    <xf numFmtId="0" fontId="2" fillId="3" borderId="7" xfId="1" applyFill="1" applyBorder="1" applyAlignment="1">
      <alignment horizontal="center"/>
    </xf>
    <xf numFmtId="0" fontId="2" fillId="3" borderId="0" xfId="1" applyFill="1" applyAlignment="1">
      <alignment horizontal="left"/>
    </xf>
    <xf numFmtId="0" fontId="2" fillId="3" borderId="12" xfId="1" applyFill="1" applyBorder="1" applyAlignment="1">
      <alignment horizontal="left"/>
    </xf>
    <xf numFmtId="0" fontId="2" fillId="3" borderId="9" xfId="1" applyFill="1" applyBorder="1" applyAlignment="1">
      <alignment horizontal="left"/>
    </xf>
    <xf numFmtId="0" fontId="2" fillId="3" borderId="3" xfId="1" applyFill="1" applyBorder="1" applyAlignment="1">
      <alignment horizontal="left"/>
    </xf>
    <xf numFmtId="0" fontId="4" fillId="0" borderId="13" xfId="1" applyFont="1" applyBorder="1" applyAlignment="1">
      <alignment horizontal="center"/>
    </xf>
    <xf numFmtId="164" fontId="4" fillId="0" borderId="13" xfId="2" applyNumberFormat="1" applyFont="1" applyBorder="1"/>
    <xf numFmtId="164" fontId="4" fillId="0" borderId="2" xfId="2" applyNumberFormat="1" applyFont="1" applyBorder="1" applyAlignment="1">
      <alignment horizontal="center"/>
    </xf>
    <xf numFmtId="0" fontId="4" fillId="3" borderId="2" xfId="1" applyFont="1" applyFill="1" applyBorder="1" applyAlignment="1">
      <alignment vertical="center" wrapText="1"/>
    </xf>
    <xf numFmtId="0" fontId="2" fillId="0" borderId="0" xfId="1" applyAlignment="1">
      <alignment horizontal="right" wrapText="1"/>
    </xf>
    <xf numFmtId="0" fontId="11" fillId="0" borderId="0" xfId="1" applyFont="1" applyAlignment="1">
      <alignment horizontal="right" wrapText="1"/>
    </xf>
    <xf numFmtId="164" fontId="2" fillId="27" borderId="20" xfId="2" applyNumberFormat="1" applyFont="1" applyFill="1" applyBorder="1" applyAlignment="1"/>
    <xf numFmtId="164" fontId="2" fillId="27" borderId="17" xfId="2" applyNumberFormat="1" applyFont="1" applyFill="1" applyBorder="1" applyAlignment="1"/>
    <xf numFmtId="164" fontId="2" fillId="28" borderId="20" xfId="2" applyNumberFormat="1" applyFont="1" applyFill="1" applyBorder="1" applyAlignment="1"/>
    <xf numFmtId="164" fontId="2" fillId="3" borderId="20" xfId="2" applyNumberFormat="1" applyFont="1" applyFill="1" applyBorder="1" applyAlignment="1"/>
    <xf numFmtId="164" fontId="2" fillId="3" borderId="17" xfId="2" applyNumberFormat="1" applyFont="1" applyFill="1" applyBorder="1" applyAlignment="1"/>
    <xf numFmtId="0" fontId="4" fillId="0" borderId="2" xfId="1" applyFont="1" applyBorder="1" applyAlignment="1">
      <alignment vertical="center"/>
    </xf>
    <xf numFmtId="0" fontId="19" fillId="29" borderId="13" xfId="1" applyFont="1" applyFill="1" applyBorder="1" applyAlignment="1">
      <alignment horizontal="center" vertical="center" wrapText="1"/>
    </xf>
    <xf numFmtId="164" fontId="2" fillId="24" borderId="20" xfId="2" applyNumberFormat="1" applyFont="1" applyFill="1" applyBorder="1"/>
    <xf numFmtId="164" fontId="2" fillId="23" borderId="17" xfId="2" applyNumberFormat="1" applyFont="1" applyFill="1" applyBorder="1"/>
    <xf numFmtId="9" fontId="2" fillId="3" borderId="0" xfId="4" applyFont="1" applyFill="1"/>
    <xf numFmtId="0" fontId="26" fillId="0" borderId="0" xfId="0" applyFont="1" applyAlignment="1">
      <alignment horizontal="left" vertical="top" wrapText="1"/>
    </xf>
    <xf numFmtId="0" fontId="2" fillId="3" borderId="0" xfId="1" applyFill="1" applyAlignment="1">
      <alignment horizontal="left" vertical="top"/>
    </xf>
    <xf numFmtId="0" fontId="27" fillId="0" borderId="0" xfId="7" applyFill="1" applyBorder="1"/>
    <xf numFmtId="0" fontId="22" fillId="3" borderId="0" xfId="7" applyFont="1" applyFill="1" applyBorder="1"/>
    <xf numFmtId="0" fontId="27" fillId="3" borderId="0" xfId="7" applyFill="1" applyBorder="1"/>
    <xf numFmtId="0" fontId="4" fillId="0" borderId="9" xfId="1" applyFont="1" applyBorder="1" applyAlignment="1">
      <alignment vertical="center"/>
    </xf>
    <xf numFmtId="0" fontId="4" fillId="0" borderId="2" xfId="1" applyFont="1" applyBorder="1" applyAlignment="1">
      <alignment horizontal="center" vertical="center" wrapText="1"/>
    </xf>
    <xf numFmtId="0" fontId="4" fillId="11" borderId="2" xfId="1" applyFont="1" applyFill="1" applyBorder="1" applyAlignment="1">
      <alignment vertical="center"/>
    </xf>
    <xf numFmtId="0" fontId="4" fillId="11" borderId="2" xfId="1" applyFont="1" applyFill="1" applyBorder="1" applyAlignment="1">
      <alignment vertical="center" wrapText="1"/>
    </xf>
    <xf numFmtId="0" fontId="2" fillId="3" borderId="9" xfId="1" applyFill="1" applyBorder="1" applyAlignment="1">
      <alignment horizontal="left" vertical="center"/>
    </xf>
    <xf numFmtId="0" fontId="2" fillId="0" borderId="2" xfId="1" applyBorder="1" applyAlignment="1">
      <alignment vertical="center"/>
    </xf>
    <xf numFmtId="0" fontId="2" fillId="0" borderId="2" xfId="1" applyBorder="1" applyAlignment="1">
      <alignment vertical="center" wrapText="1"/>
    </xf>
    <xf numFmtId="0" fontId="2" fillId="0" borderId="2" xfId="1" applyBorder="1" applyAlignment="1">
      <alignment vertical="top" wrapText="1"/>
    </xf>
    <xf numFmtId="0" fontId="2" fillId="0" borderId="2" xfId="1" applyBorder="1" applyAlignment="1">
      <alignment horizontal="right" vertical="center"/>
    </xf>
    <xf numFmtId="0" fontId="2" fillId="0" borderId="0" xfId="1" applyAlignment="1">
      <alignment vertical="center"/>
    </xf>
    <xf numFmtId="0" fontId="2" fillId="3" borderId="0" xfId="1" applyFill="1" applyAlignment="1">
      <alignment vertical="top" wrapText="1"/>
    </xf>
    <xf numFmtId="0" fontId="19" fillId="12" borderId="0" xfId="1" applyFont="1" applyFill="1"/>
    <xf numFmtId="0" fontId="19" fillId="12" borderId="10" xfId="1" applyFont="1" applyFill="1" applyBorder="1" applyAlignment="1">
      <alignment horizontal="right"/>
    </xf>
    <xf numFmtId="0" fontId="19" fillId="12" borderId="10" xfId="1" applyFont="1" applyFill="1" applyBorder="1" applyAlignment="1">
      <alignment horizontal="right" wrapText="1"/>
    </xf>
    <xf numFmtId="164" fontId="16" fillId="0" borderId="0" xfId="2" applyNumberFormat="1" applyFont="1" applyAlignment="1">
      <alignment horizontal="right" vertical="top" wrapText="1"/>
    </xf>
    <xf numFmtId="164" fontId="25" fillId="0" borderId="0" xfId="2" applyNumberFormat="1" applyFont="1" applyAlignment="1">
      <alignment horizontal="right" vertical="top" wrapText="1"/>
    </xf>
    <xf numFmtId="165" fontId="4" fillId="0" borderId="0" xfId="1" applyNumberFormat="1" applyFont="1" applyAlignment="1">
      <alignment horizontal="right" wrapText="1"/>
    </xf>
    <xf numFmtId="0" fontId="2" fillId="3" borderId="0" xfId="1" applyFill="1" applyAlignment="1">
      <alignment horizontal="left" vertical="top" wrapText="1"/>
    </xf>
    <xf numFmtId="0" fontId="23" fillId="16" borderId="0" xfId="1" applyFont="1" applyFill="1" applyAlignment="1">
      <alignment horizontal="center" vertical="center" wrapText="1"/>
    </xf>
    <xf numFmtId="0" fontId="23" fillId="16" borderId="6" xfId="1" applyFont="1" applyFill="1" applyBorder="1" applyAlignment="1">
      <alignment horizontal="center" vertical="center" wrapText="1"/>
    </xf>
    <xf numFmtId="0" fontId="23" fillId="16" borderId="10" xfId="1" applyFont="1" applyFill="1" applyBorder="1" applyAlignment="1">
      <alignment horizontal="center" vertical="center" wrapText="1"/>
    </xf>
    <xf numFmtId="0" fontId="23" fillId="16" borderId="11" xfId="1" applyFont="1" applyFill="1" applyBorder="1" applyAlignment="1">
      <alignment horizontal="center" vertical="center" wrapText="1"/>
    </xf>
    <xf numFmtId="0" fontId="2" fillId="3" borderId="0" xfId="1" applyFill="1" applyAlignment="1">
      <alignment horizontal="left"/>
    </xf>
    <xf numFmtId="0" fontId="2" fillId="3" borderId="0" xfId="1" applyFill="1" applyAlignment="1">
      <alignment horizontal="left" vertical="top"/>
    </xf>
    <xf numFmtId="0" fontId="18" fillId="20" borderId="0" xfId="1" applyFont="1" applyFill="1" applyAlignment="1">
      <alignment horizontal="center" vertical="center"/>
    </xf>
    <xf numFmtId="0" fontId="18" fillId="16" borderId="13" xfId="1" applyFont="1" applyFill="1" applyBorder="1" applyAlignment="1">
      <alignment horizontal="center" vertical="center"/>
    </xf>
    <xf numFmtId="0" fontId="18" fillId="16" borderId="14" xfId="1" applyFont="1" applyFill="1" applyBorder="1" applyAlignment="1">
      <alignment horizontal="center" vertical="center"/>
    </xf>
    <xf numFmtId="0" fontId="18" fillId="16" borderId="15" xfId="1" applyFont="1" applyFill="1" applyBorder="1" applyAlignment="1">
      <alignment horizontal="center" vertical="center"/>
    </xf>
    <xf numFmtId="0" fontId="18" fillId="20" borderId="26" xfId="1" applyFont="1" applyFill="1" applyBorder="1" applyAlignment="1">
      <alignment horizontal="center" vertical="center" wrapText="1"/>
    </xf>
    <xf numFmtId="0" fontId="18" fillId="20" borderId="29" xfId="1" applyFont="1" applyFill="1" applyBorder="1" applyAlignment="1">
      <alignment horizontal="center" vertical="center" wrapText="1"/>
    </xf>
    <xf numFmtId="0" fontId="18" fillId="20" borderId="27" xfId="1" applyFont="1" applyFill="1" applyBorder="1" applyAlignment="1">
      <alignment horizontal="center" vertical="center" wrapText="1"/>
    </xf>
    <xf numFmtId="0" fontId="18" fillId="20" borderId="28" xfId="1" applyFont="1" applyFill="1" applyBorder="1" applyAlignment="1">
      <alignment horizontal="center" vertical="center" wrapText="1"/>
    </xf>
    <xf numFmtId="0" fontId="18" fillId="20" borderId="30" xfId="1" applyFont="1" applyFill="1" applyBorder="1" applyAlignment="1">
      <alignment horizontal="center" vertical="center" wrapText="1"/>
    </xf>
    <xf numFmtId="0" fontId="18" fillId="20" borderId="25" xfId="1" applyFont="1" applyFill="1" applyBorder="1" applyAlignment="1">
      <alignment horizontal="center" vertical="center" wrapText="1"/>
    </xf>
    <xf numFmtId="0" fontId="18" fillId="16" borderId="2" xfId="1" applyFont="1" applyFill="1" applyBorder="1" applyAlignment="1">
      <alignment horizontal="center" vertical="center"/>
    </xf>
    <xf numFmtId="0" fontId="18" fillId="20" borderId="2" xfId="1" applyFont="1" applyFill="1" applyBorder="1" applyAlignment="1">
      <alignment horizontal="center" vertical="center"/>
    </xf>
    <xf numFmtId="0" fontId="18" fillId="20" borderId="2" xfId="1" applyFont="1" applyFill="1" applyBorder="1" applyAlignment="1">
      <alignment horizontal="center" vertical="center" wrapText="1"/>
    </xf>
    <xf numFmtId="0" fontId="4" fillId="21" borderId="13" xfId="1" applyFont="1" applyFill="1" applyBorder="1" applyAlignment="1">
      <alignment horizontal="center" vertical="center" wrapText="1"/>
    </xf>
    <xf numFmtId="0" fontId="4" fillId="21" borderId="14" xfId="1" applyFont="1" applyFill="1" applyBorder="1" applyAlignment="1">
      <alignment horizontal="center" vertical="center" wrapText="1"/>
    </xf>
    <xf numFmtId="0" fontId="4" fillId="21" borderId="2" xfId="1" applyFont="1" applyFill="1" applyBorder="1" applyAlignment="1">
      <alignment horizontal="center" vertical="center"/>
    </xf>
    <xf numFmtId="0" fontId="4" fillId="24" borderId="13" xfId="1" applyFont="1" applyFill="1" applyBorder="1" applyAlignment="1">
      <alignment horizontal="center"/>
    </xf>
    <xf numFmtId="0" fontId="4" fillId="24" borderId="14" xfId="1" applyFont="1" applyFill="1" applyBorder="1" applyAlignment="1">
      <alignment horizontal="center"/>
    </xf>
    <xf numFmtId="0" fontId="18" fillId="20" borderId="13" xfId="1" applyFont="1" applyFill="1" applyBorder="1" applyAlignment="1">
      <alignment horizontal="center" vertical="center"/>
    </xf>
    <xf numFmtId="0" fontId="18" fillId="20" borderId="14" xfId="1" applyFont="1" applyFill="1" applyBorder="1" applyAlignment="1">
      <alignment horizontal="center" vertical="center"/>
    </xf>
    <xf numFmtId="0" fontId="18" fillId="20" borderId="9" xfId="1" applyFont="1" applyFill="1" applyBorder="1" applyAlignment="1">
      <alignment horizontal="center"/>
    </xf>
    <xf numFmtId="0" fontId="18" fillId="20" borderId="8" xfId="1" applyFont="1" applyFill="1" applyBorder="1" applyAlignment="1">
      <alignment horizontal="center"/>
    </xf>
    <xf numFmtId="0" fontId="18" fillId="20" borderId="7" xfId="1" applyFont="1" applyFill="1" applyBorder="1" applyAlignment="1">
      <alignment horizontal="center"/>
    </xf>
    <xf numFmtId="0" fontId="19" fillId="24" borderId="13" xfId="1" applyFont="1" applyFill="1" applyBorder="1" applyAlignment="1">
      <alignment horizontal="center" wrapText="1"/>
    </xf>
    <xf numFmtId="0" fontId="19" fillId="24" borderId="14" xfId="1" applyFont="1" applyFill="1" applyBorder="1" applyAlignment="1">
      <alignment horizontal="center" wrapText="1"/>
    </xf>
    <xf numFmtId="0" fontId="17" fillId="20" borderId="13" xfId="1" applyFont="1" applyFill="1" applyBorder="1" applyAlignment="1">
      <alignment horizontal="center" vertical="center"/>
    </xf>
    <xf numFmtId="0" fontId="17" fillId="20" borderId="14" xfId="1" applyFont="1" applyFill="1" applyBorder="1" applyAlignment="1">
      <alignment horizontal="center" vertical="center"/>
    </xf>
    <xf numFmtId="0" fontId="17" fillId="20" borderId="15" xfId="1" applyFont="1" applyFill="1" applyBorder="1" applyAlignment="1">
      <alignment horizontal="center" vertical="center"/>
    </xf>
    <xf numFmtId="0" fontId="17" fillId="20" borderId="3" xfId="1" applyFont="1" applyFill="1" applyBorder="1" applyAlignment="1">
      <alignment horizontal="center" vertical="center" wrapText="1"/>
    </xf>
    <xf numFmtId="0" fontId="17" fillId="20" borderId="4" xfId="1" applyFont="1" applyFill="1" applyBorder="1" applyAlignment="1">
      <alignment horizontal="center" vertical="center" wrapText="1"/>
    </xf>
    <xf numFmtId="0" fontId="17" fillId="20" borderId="5" xfId="1" applyFont="1" applyFill="1" applyBorder="1" applyAlignment="1">
      <alignment horizontal="center" vertical="center" wrapText="1"/>
    </xf>
    <xf numFmtId="0" fontId="17" fillId="20" borderId="1" xfId="1" applyFont="1" applyFill="1" applyBorder="1" applyAlignment="1">
      <alignment horizontal="center" vertical="center" wrapText="1"/>
    </xf>
    <xf numFmtId="0" fontId="17" fillId="20" borderId="0" xfId="1" applyFont="1" applyFill="1" applyAlignment="1">
      <alignment horizontal="center" vertical="center" wrapText="1"/>
    </xf>
    <xf numFmtId="0" fontId="17" fillId="20" borderId="6"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17" fillId="20" borderId="3" xfId="1" applyFont="1" applyFill="1" applyBorder="1" applyAlignment="1">
      <alignment horizontal="center" vertical="center"/>
    </xf>
    <xf numFmtId="0" fontId="17" fillId="20" borderId="4" xfId="1" applyFont="1" applyFill="1" applyBorder="1" applyAlignment="1">
      <alignment horizontal="center" vertical="center"/>
    </xf>
    <xf numFmtId="0" fontId="17" fillId="20" borderId="5" xfId="1" applyFont="1" applyFill="1" applyBorder="1" applyAlignment="1">
      <alignment horizontal="center" vertical="center"/>
    </xf>
    <xf numFmtId="0" fontId="17" fillId="20" borderId="1" xfId="1" applyFont="1" applyFill="1" applyBorder="1" applyAlignment="1">
      <alignment horizontal="center" vertical="center"/>
    </xf>
    <xf numFmtId="0" fontId="17" fillId="20" borderId="0" xfId="1" applyFont="1" applyFill="1" applyAlignment="1">
      <alignment horizontal="center" vertical="center"/>
    </xf>
    <xf numFmtId="0" fontId="17" fillId="20" borderId="6" xfId="1" applyFont="1" applyFill="1" applyBorder="1" applyAlignment="1">
      <alignment horizontal="center" vertical="center"/>
    </xf>
    <xf numFmtId="0" fontId="2" fillId="16" borderId="13" xfId="1" applyFill="1" applyBorder="1" applyAlignment="1">
      <alignment horizontal="center" vertical="center"/>
    </xf>
    <xf numFmtId="0" fontId="2" fillId="16" borderId="14" xfId="1" applyFill="1" applyBorder="1" applyAlignment="1">
      <alignment horizontal="center" vertical="center"/>
    </xf>
    <xf numFmtId="0" fontId="2" fillId="16" borderId="15" xfId="1" applyFill="1" applyBorder="1" applyAlignment="1">
      <alignment horizontal="center" vertical="center"/>
    </xf>
    <xf numFmtId="0" fontId="2" fillId="17" borderId="13" xfId="1" applyFill="1" applyBorder="1" applyAlignment="1">
      <alignment horizontal="center" vertical="center"/>
    </xf>
    <xf numFmtId="0" fontId="2" fillId="17" borderId="14" xfId="1" applyFill="1" applyBorder="1" applyAlignment="1">
      <alignment horizontal="center" vertical="center"/>
    </xf>
    <xf numFmtId="0" fontId="2" fillId="17" borderId="15" xfId="1" applyFill="1" applyBorder="1" applyAlignment="1">
      <alignment horizontal="center" vertical="center"/>
    </xf>
    <xf numFmtId="0" fontId="2" fillId="22" borderId="13" xfId="1" applyFill="1" applyBorder="1" applyAlignment="1">
      <alignment horizontal="center" vertical="center"/>
    </xf>
    <xf numFmtId="0" fontId="2" fillId="22" borderId="14" xfId="1" applyFill="1" applyBorder="1" applyAlignment="1">
      <alignment horizontal="center" vertical="center"/>
    </xf>
    <xf numFmtId="0" fontId="2" fillId="22" borderId="15" xfId="1" applyFill="1" applyBorder="1" applyAlignment="1">
      <alignment horizontal="center" vertical="center"/>
    </xf>
    <xf numFmtId="0" fontId="2" fillId="24" borderId="13" xfId="1" applyFill="1" applyBorder="1" applyAlignment="1">
      <alignment horizontal="center" vertical="center"/>
    </xf>
    <xf numFmtId="0" fontId="2" fillId="24" borderId="14" xfId="1" applyFill="1" applyBorder="1" applyAlignment="1">
      <alignment horizontal="center" vertical="center"/>
    </xf>
    <xf numFmtId="0" fontId="2" fillId="24" borderId="15" xfId="1" applyFill="1" applyBorder="1" applyAlignment="1">
      <alignment horizontal="center" vertical="center"/>
    </xf>
    <xf numFmtId="0" fontId="2" fillId="23" borderId="13" xfId="1" applyFill="1" applyBorder="1" applyAlignment="1">
      <alignment horizontal="center" vertical="center"/>
    </xf>
    <xf numFmtId="0" fontId="2" fillId="23" borderId="15" xfId="1" applyFill="1" applyBorder="1" applyAlignment="1">
      <alignment horizontal="center" vertical="center"/>
    </xf>
    <xf numFmtId="0" fontId="2" fillId="0" borderId="0" xfId="1" applyAlignment="1">
      <alignment horizontal="left" vertical="top" wrapText="1"/>
    </xf>
    <xf numFmtId="0" fontId="7" fillId="15" borderId="13" xfId="1" applyFont="1" applyFill="1" applyBorder="1" applyAlignment="1">
      <alignment horizontal="center"/>
    </xf>
    <xf numFmtId="0" fontId="7" fillId="15" borderId="15" xfId="1" applyFont="1" applyFill="1" applyBorder="1" applyAlignment="1">
      <alignment horizontal="center"/>
    </xf>
    <xf numFmtId="0" fontId="9" fillId="0" borderId="13" xfId="1" applyFont="1" applyBorder="1" applyAlignment="1">
      <alignment horizontal="center" vertical="center"/>
    </xf>
    <xf numFmtId="0" fontId="9" fillId="0" borderId="15" xfId="1" applyFont="1" applyBorder="1" applyAlignment="1">
      <alignment horizontal="center" vertical="center"/>
    </xf>
    <xf numFmtId="0" fontId="9" fillId="13" borderId="13" xfId="1" applyFont="1" applyFill="1" applyBorder="1" applyAlignment="1">
      <alignment horizontal="center" vertical="center"/>
    </xf>
    <xf numFmtId="0" fontId="9" fillId="13" borderId="15" xfId="1" applyFont="1" applyFill="1" applyBorder="1" applyAlignment="1">
      <alignment horizontal="center" vertical="center"/>
    </xf>
    <xf numFmtId="0" fontId="9" fillId="13" borderId="9" xfId="1" applyFont="1" applyFill="1" applyBorder="1" applyAlignment="1">
      <alignment horizontal="center"/>
    </xf>
    <xf numFmtId="0" fontId="9" fillId="13" borderId="8" xfId="1" applyFont="1" applyFill="1" applyBorder="1" applyAlignment="1">
      <alignment horizontal="center"/>
    </xf>
    <xf numFmtId="0" fontId="9" fillId="15" borderId="13" xfId="1" applyFont="1" applyFill="1" applyBorder="1" applyAlignment="1">
      <alignment horizontal="center" wrapText="1"/>
    </xf>
    <xf numFmtId="0" fontId="9" fillId="15" borderId="15" xfId="1" applyFont="1" applyFill="1" applyBorder="1" applyAlignment="1">
      <alignment horizontal="center" wrapText="1"/>
    </xf>
    <xf numFmtId="0" fontId="9" fillId="13" borderId="7" xfId="1" applyFont="1" applyFill="1" applyBorder="1" applyAlignment="1">
      <alignment horizontal="center"/>
    </xf>
    <xf numFmtId="0" fontId="4" fillId="9" borderId="3" xfId="1" applyFont="1" applyFill="1" applyBorder="1" applyAlignment="1">
      <alignment horizontal="center"/>
    </xf>
    <xf numFmtId="0" fontId="4" fillId="9" borderId="4" xfId="1" applyFont="1" applyFill="1" applyBorder="1" applyAlignment="1">
      <alignment horizontal="center"/>
    </xf>
    <xf numFmtId="0" fontId="4" fillId="9" borderId="5" xfId="1" applyFont="1" applyFill="1" applyBorder="1" applyAlignment="1">
      <alignment horizontal="center"/>
    </xf>
    <xf numFmtId="0" fontId="4" fillId="6" borderId="3" xfId="1" applyFont="1" applyFill="1" applyBorder="1" applyAlignment="1">
      <alignment horizontal="center"/>
    </xf>
    <xf numFmtId="0" fontId="4" fillId="6" borderId="4" xfId="1" applyFont="1" applyFill="1" applyBorder="1" applyAlignment="1">
      <alignment horizontal="center"/>
    </xf>
    <xf numFmtId="0" fontId="4" fillId="6" borderId="5" xfId="1" applyFont="1" applyFill="1" applyBorder="1" applyAlignment="1">
      <alignment horizontal="center"/>
    </xf>
    <xf numFmtId="0" fontId="4" fillId="10" borderId="3" xfId="1" applyFont="1" applyFill="1" applyBorder="1" applyAlignment="1">
      <alignment horizontal="center"/>
    </xf>
    <xf numFmtId="0" fontId="4" fillId="10" borderId="4" xfId="1" applyFont="1" applyFill="1" applyBorder="1" applyAlignment="1">
      <alignment horizontal="center"/>
    </xf>
    <xf numFmtId="0" fontId="4" fillId="10" borderId="5" xfId="1" applyFont="1" applyFill="1" applyBorder="1" applyAlignment="1">
      <alignment horizontal="center"/>
    </xf>
    <xf numFmtId="0" fontId="4" fillId="11" borderId="13" xfId="1" applyFont="1" applyFill="1" applyBorder="1" applyAlignment="1">
      <alignment horizontal="center" vertical="center" wrapText="1"/>
    </xf>
    <xf numFmtId="0" fontId="4" fillId="11" borderId="14" xfId="1" applyFont="1" applyFill="1" applyBorder="1" applyAlignment="1">
      <alignment horizontal="center" vertical="center" wrapText="1"/>
    </xf>
    <xf numFmtId="0" fontId="0" fillId="0" borderId="0" xfId="0" applyAlignment="1">
      <alignment horizontal="center"/>
    </xf>
  </cellXfs>
  <cellStyles count="8">
    <cellStyle name="Bad" xfId="7" builtinId="27"/>
    <cellStyle name="Comma" xfId="2" builtinId="3"/>
    <cellStyle name="Good" xfId="3" builtinId="26"/>
    <cellStyle name="Neutral" xfId="5" builtinId="28"/>
    <cellStyle name="Normal" xfId="0" builtinId="0"/>
    <cellStyle name="Normal 2" xfId="1" xr:uid="{3FF034A4-7202-4E4C-BF7F-BF9C160A2DA1}"/>
    <cellStyle name="Normal 3" xfId="6" xr:uid="{308ECC1D-0F74-48F7-98DC-EB9E94581CCE}"/>
    <cellStyle name="Percent" xfId="4" builtinId="5"/>
  </cellStyles>
  <dxfs count="26">
    <dxf>
      <numFmt numFmtId="170" formatCode="\-"/>
    </dxf>
    <dxf>
      <numFmt numFmtId="170" formatCode="\-"/>
    </dxf>
    <dxf>
      <fill>
        <patternFill>
          <fgColor theme="0" tint="-0.24994659260841701"/>
        </patternFill>
      </fill>
    </dxf>
    <dxf>
      <fill>
        <patternFill>
          <fgColor theme="0" tint="-0.24994659260841701"/>
          <bgColor theme="0"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b val="0"/>
        <i val="0"/>
        <strike val="0"/>
        <condense val="0"/>
        <extend val="0"/>
        <outline val="0"/>
        <shadow val="0"/>
        <u val="none"/>
        <vertAlign val="baseline"/>
        <sz val="11"/>
        <color theme="1"/>
        <name val="Calibri"/>
        <family val="2"/>
        <scheme val="minor"/>
      </font>
    </dxf>
    <dxf>
      <alignment horizontal="right" vertical="bottom" textRotation="0" wrapText="0" indent="0" justifyLastLine="0" shrinkToFit="0" readingOrder="0"/>
    </dxf>
    <dxf>
      <numFmt numFmtId="165" formatCode="&quot;£&quot;#,##0.00"/>
      <alignment horizontal="right" vertical="bottom" textRotation="0" wrapText="0" indent="0" justifyLastLine="0" shrinkToFit="0" readingOrder="0"/>
    </dxf>
    <dxf>
      <numFmt numFmtId="165" formatCode="&quot;£&quot;#,##0.00"/>
      <alignment horizontal="right" vertical="bottom" textRotation="0" wrapText="0" indent="0" justifyLastLine="0" shrinkToFit="0" readingOrder="0"/>
    </dxf>
    <dxf>
      <numFmt numFmtId="165" formatCode="&quot;£&quot;#,##0.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9" formatCode="dd/mm/yyyy"/>
    </dxf>
    <dxf>
      <numFmt numFmtId="19" formatCode="dd/mm/yyyy"/>
    </dxf>
    <dxf>
      <font>
        <b val="0"/>
        <i val="0"/>
        <strike val="0"/>
        <condense val="0"/>
        <extend val="0"/>
        <outline val="0"/>
        <shadow val="0"/>
        <u val="none"/>
        <vertAlign val="baseline"/>
        <sz val="10"/>
        <color auto="1"/>
        <name val="Calibri"/>
        <family val="2"/>
        <scheme val="minor"/>
      </font>
      <numFmt numFmtId="164" formatCode="_-* #,##0_-;\-* #,##0_-;_-* &quot;-&quot;??_-;_-@_-"/>
      <alignment horizontal="right" vertical="top"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65" formatCode="&quot;£&quot;#,##0.00"/>
      <alignment horizontal="right" vertical="bottom" textRotation="0" wrapText="1" indent="0" justifyLastLine="0" shrinkToFit="0" readingOrder="0"/>
    </dxf>
    <dxf>
      <numFmt numFmtId="164" formatCode="_-* #,##0_-;\-* #,##0_-;_-* &quot;-&quot;??_-;_-@_-"/>
    </dxf>
    <dxf>
      <border outline="0">
        <bottom style="thin">
          <color theme="0" tint="-0.34998626667073579"/>
        </bottom>
      </border>
    </dxf>
    <dxf>
      <font>
        <b/>
        <i val="0"/>
        <strike val="0"/>
        <condense val="0"/>
        <extend val="0"/>
        <outline val="0"/>
        <shadow val="0"/>
        <u val="none"/>
        <vertAlign val="baseline"/>
        <sz val="10"/>
        <color theme="1"/>
        <name val="Calibri"/>
        <family val="2"/>
        <scheme val="minor"/>
      </font>
    </dxf>
  </dxfs>
  <tableStyles count="0" defaultTableStyle="TableStyleMedium2" defaultPivotStyle="PivotStyleLight16"/>
  <colors>
    <mruColors>
      <color rgb="FFEAE7E6"/>
      <color rgb="FFCCE7E6"/>
      <color rgb="FFB9FFFF"/>
      <color rgb="FF027977"/>
      <color rgb="FFDAD5D4"/>
      <color rgb="FFB2D8D8"/>
      <color rgb="FF3B3433"/>
      <color rgb="FFBFB6B5"/>
      <color rgb="FF66B2B2"/>
      <color rgb="FF03A9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tyles" Target="styles.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Total Value of funding secured by Darwin Plus projects reporting against Standard Indicators for 2023/24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DPLUS_2024_Synthesis!$D$23</c:f>
              <c:strCache>
                <c:ptCount val="1"/>
                <c:pt idx="0">
                  <c:v>Number of projects</c:v>
                </c:pt>
              </c:strCache>
            </c:strRef>
          </c:tx>
          <c:spPr>
            <a:solidFill>
              <a:srgbClr val="027977"/>
            </a:solidFill>
            <a:ln>
              <a:noFill/>
            </a:ln>
            <a:effectLst/>
          </c:spPr>
          <c:invertIfNegative val="0"/>
          <c:cat>
            <c:numRef>
              <c:f>DPLUS_2024_Synthesis!$C$31:$C$34</c:f>
              <c:numCache>
                <c:formatCode>General</c:formatCode>
                <c:ptCount val="4"/>
                <c:pt idx="0">
                  <c:v>8</c:v>
                </c:pt>
                <c:pt idx="1">
                  <c:v>9</c:v>
                </c:pt>
                <c:pt idx="2">
                  <c:v>10</c:v>
                </c:pt>
                <c:pt idx="3">
                  <c:v>11</c:v>
                </c:pt>
              </c:numCache>
            </c:numRef>
          </c:cat>
          <c:val>
            <c:numRef>
              <c:f>DPLUS_2024_Synthesis!$E$31:$E$34</c:f>
              <c:numCache>
                <c:formatCode>_-* #,##0_-;\-* #,##0_-;_-* "-"??_-;_-@_-</c:formatCode>
                <c:ptCount val="4"/>
                <c:pt idx="0">
                  <c:v>1731918</c:v>
                </c:pt>
                <c:pt idx="1">
                  <c:v>2340308</c:v>
                </c:pt>
                <c:pt idx="2">
                  <c:v>3945163</c:v>
                </c:pt>
                <c:pt idx="3">
                  <c:v>5971040.4399999995</c:v>
                </c:pt>
              </c:numCache>
            </c:numRef>
          </c:val>
          <c:extLst>
            <c:ext xmlns:c16="http://schemas.microsoft.com/office/drawing/2014/chart" uri="{C3380CC4-5D6E-409C-BE32-E72D297353CC}">
              <c16:uniqueId val="{00000002-63AD-4978-9721-382E163BB27B}"/>
            </c:ext>
          </c:extLst>
        </c:ser>
        <c:ser>
          <c:idx val="3"/>
          <c:order val="1"/>
          <c:tx>
            <c:strRef>
              <c:f>DPLUS_2024_Synthesis!$F$23</c:f>
              <c:strCache>
                <c:ptCount val="1"/>
                <c:pt idx="0">
                  <c:v>Total value of matched funding to date</c:v>
                </c:pt>
              </c:strCache>
            </c:strRef>
          </c:tx>
          <c:spPr>
            <a:solidFill>
              <a:schemeClr val="accent2">
                <a:lumMod val="60000"/>
              </a:schemeClr>
            </a:solidFill>
            <a:ln>
              <a:noFill/>
            </a:ln>
            <a:effectLst/>
          </c:spPr>
          <c:invertIfNegative val="0"/>
          <c:cat>
            <c:numRef>
              <c:f>DPLUS_2024_Synthesis!$C$31:$C$34</c:f>
              <c:numCache>
                <c:formatCode>General</c:formatCode>
                <c:ptCount val="4"/>
                <c:pt idx="0">
                  <c:v>8</c:v>
                </c:pt>
                <c:pt idx="1">
                  <c:v>9</c:v>
                </c:pt>
                <c:pt idx="2">
                  <c:v>10</c:v>
                </c:pt>
                <c:pt idx="3">
                  <c:v>11</c:v>
                </c:pt>
              </c:numCache>
            </c:numRef>
          </c:cat>
          <c:val>
            <c:numRef>
              <c:f>DPLUS_2024_Synthesis!$F$31:$F$34</c:f>
              <c:numCache>
                <c:formatCode>_-* #,##0_-;\-* #,##0_-;_-* "-"??_-;_-@_-</c:formatCode>
                <c:ptCount val="4"/>
                <c:pt idx="0">
                  <c:v>151159.5</c:v>
                </c:pt>
                <c:pt idx="1">
                  <c:v>829819.87</c:v>
                </c:pt>
                <c:pt idx="2">
                  <c:v>990230.29</c:v>
                </c:pt>
                <c:pt idx="3">
                  <c:v>387544.82999999996</c:v>
                </c:pt>
              </c:numCache>
            </c:numRef>
          </c:val>
          <c:extLst>
            <c:ext xmlns:c16="http://schemas.microsoft.com/office/drawing/2014/chart" uri="{C3380CC4-5D6E-409C-BE32-E72D297353CC}">
              <c16:uniqueId val="{00000003-63AD-4978-9721-382E163BB27B}"/>
            </c:ext>
          </c:extLst>
        </c:ser>
        <c:ser>
          <c:idx val="4"/>
          <c:order val="2"/>
          <c:tx>
            <c:strRef>
              <c:f>DPLUS_2024_Synthesis!$H$23</c:f>
              <c:strCache>
                <c:ptCount val="1"/>
                <c:pt idx="0">
                  <c:v>Total value of mobilised funding to date</c:v>
                </c:pt>
              </c:strCache>
            </c:strRef>
          </c:tx>
          <c:spPr>
            <a:solidFill>
              <a:schemeClr val="accent4">
                <a:lumMod val="60000"/>
              </a:schemeClr>
            </a:solidFill>
            <a:ln>
              <a:noFill/>
            </a:ln>
            <a:effectLst/>
          </c:spPr>
          <c:invertIfNegative val="0"/>
          <c:cat>
            <c:numRef>
              <c:f>DPLUS_2024_Synthesis!$C$31:$C$34</c:f>
              <c:numCache>
                <c:formatCode>General</c:formatCode>
                <c:ptCount val="4"/>
                <c:pt idx="0">
                  <c:v>8</c:v>
                </c:pt>
                <c:pt idx="1">
                  <c:v>9</c:v>
                </c:pt>
                <c:pt idx="2">
                  <c:v>10</c:v>
                </c:pt>
                <c:pt idx="3">
                  <c:v>11</c:v>
                </c:pt>
              </c:numCache>
            </c:numRef>
          </c:cat>
          <c:val>
            <c:numRef>
              <c:f>DPLUS_2024_Synthesis!$H$31:$H$34</c:f>
              <c:numCache>
                <c:formatCode>_-* #,##0_-;\-* #,##0_-;_-* "-"??_-;_-@_-</c:formatCode>
                <c:ptCount val="4"/>
                <c:pt idx="0">
                  <c:v>0</c:v>
                </c:pt>
                <c:pt idx="1">
                  <c:v>110794</c:v>
                </c:pt>
                <c:pt idx="2">
                  <c:v>274212</c:v>
                </c:pt>
                <c:pt idx="3">
                  <c:v>91668</c:v>
                </c:pt>
              </c:numCache>
            </c:numRef>
          </c:val>
          <c:extLst>
            <c:ext xmlns:c16="http://schemas.microsoft.com/office/drawing/2014/chart" uri="{C3380CC4-5D6E-409C-BE32-E72D297353CC}">
              <c16:uniqueId val="{00000004-63AD-4978-9721-382E163BB27B}"/>
            </c:ext>
          </c:extLst>
        </c:ser>
        <c:dLbls>
          <c:showLegendKey val="0"/>
          <c:showVal val="0"/>
          <c:showCatName val="0"/>
          <c:showSerName val="0"/>
          <c:showPercent val="0"/>
          <c:showBubbleSize val="0"/>
        </c:dLbls>
        <c:gapWidth val="150"/>
        <c:overlap val="100"/>
        <c:axId val="1454669456"/>
        <c:axId val="2058731760"/>
        <c:extLst/>
      </c:barChart>
      <c:catAx>
        <c:axId val="145466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8731760"/>
        <c:crosses val="autoZero"/>
        <c:auto val="1"/>
        <c:lblAlgn val="ctr"/>
        <c:lblOffset val="100"/>
        <c:noMultiLvlLbl val="0"/>
      </c:catAx>
      <c:valAx>
        <c:axId val="20587317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669456"/>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m</a:t>
                  </a:r>
                  <a:r>
                    <a:rPr lang="en-GB"/>
                    <a:t>illion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Targets</a:t>
            </a:r>
            <a:r>
              <a:rPr lang="en-GB" baseline="0"/>
              <a:t> by </a:t>
            </a:r>
            <a:r>
              <a:rPr lang="en-GB"/>
              <a:t>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Data_2024!$S$1</c:f>
              <c:strCache>
                <c:ptCount val="1"/>
                <c:pt idx="0">
                  <c:v>Target for full project</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2DD62BC9-6055-4695-8E0D-56AD669AE97B}" type="CELLRANGE">
                      <a:rPr lang="en-GB"/>
                      <a:pPr/>
                      <a:t>[CELLRANGE]</a:t>
                    </a:fld>
                    <a:r>
                      <a:rPr lang="en-GB" baseline="0"/>
                      <a:t>, </a:t>
                    </a:r>
                    <a:fld id="{B253B30C-2E3F-47C7-A990-16F19591BE35}" type="YVALUE">
                      <a:rPr lang="en-GB" baseline="0"/>
                      <a:pPr/>
                      <a:t>[Y VALUE]</a:t>
                    </a:fld>
                    <a:endParaRPr lang="en-GB" baseline="0"/>
                  </a:p>
                </c:rich>
              </c:tx>
              <c:dLblPos val="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3B6-4A7D-AC26-1B9E5131A54F}"/>
                </c:ext>
              </c:extLst>
            </c:dLbl>
            <c:dLbl>
              <c:idx val="1"/>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93B6-4A7D-AC26-1B9E5131A54F}"/>
                </c:ext>
              </c:extLst>
            </c:dLbl>
            <c:dLbl>
              <c:idx val="2"/>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93B6-4A7D-AC26-1B9E5131A54F}"/>
                </c:ext>
              </c:extLst>
            </c:dLbl>
            <c:dLbl>
              <c:idx val="3"/>
              <c:tx>
                <c:rich>
                  <a:bodyPr/>
                  <a:lstStyle/>
                  <a:p>
                    <a:fld id="{42745A6A-FE1C-4032-81D4-6EDCE1BFE1F4}" type="CELLRANGE">
                      <a:rPr lang="en-GB"/>
                      <a:pPr/>
                      <a:t>[CELLRANGE]</a:t>
                    </a:fld>
                    <a:r>
                      <a:rPr lang="en-GB" baseline="0"/>
                      <a:t>, </a:t>
                    </a:r>
                    <a:fld id="{B5CC55CE-906D-425C-AAB8-ACD398EE5192}" type="YVALUE">
                      <a:rPr lang="en-GB" baseline="0"/>
                      <a:pPr/>
                      <a:t>[Y VALUE]</a:t>
                    </a:fld>
                    <a:endParaRPr lang="en-GB" baseline="0"/>
                  </a:p>
                </c:rich>
              </c:tx>
              <c:dLblPos val="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3B6-4A7D-AC26-1B9E5131A54F}"/>
                </c:ext>
              </c:extLst>
            </c:dLbl>
            <c:dLbl>
              <c:idx val="4"/>
              <c:tx>
                <c:rich>
                  <a:bodyPr/>
                  <a:lstStyle/>
                  <a:p>
                    <a:fld id="{CF523D5C-47CA-4569-93ED-8ED89A209FFB}" type="CELLRANGE">
                      <a:rPr lang="en-GB"/>
                      <a:pPr/>
                      <a:t>[CELLRANGE]</a:t>
                    </a:fld>
                    <a:r>
                      <a:rPr lang="en-GB" baseline="0"/>
                      <a:t>, </a:t>
                    </a:r>
                    <a:fld id="{9FF71741-8C8D-44DB-B5FC-BFBF6CEA22CA}" type="YVALUE">
                      <a:rPr lang="en-GB" baseline="0"/>
                      <a:pPr/>
                      <a:t>[Y VALUE]</a:t>
                    </a:fld>
                    <a:endParaRPr lang="en-GB" baseline="0"/>
                  </a:p>
                </c:rich>
              </c:tx>
              <c:dLblPos val="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3B6-4A7D-AC26-1B9E5131A54F}"/>
                </c:ext>
              </c:extLst>
            </c:dLbl>
            <c:dLbl>
              <c:idx val="5"/>
              <c:tx>
                <c:rich>
                  <a:bodyPr/>
                  <a:lstStyle/>
                  <a:p>
                    <a:fld id="{8D149906-F0B6-4697-B060-9E1D35561E44}" type="CELLRANGE">
                      <a:rPr lang="en-GB"/>
                      <a:pPr/>
                      <a:t>[CELLRANGE]</a:t>
                    </a:fld>
                    <a:r>
                      <a:rPr lang="en-GB" baseline="0"/>
                      <a:t>, </a:t>
                    </a:r>
                    <a:fld id="{B025272E-2077-41C4-90F9-E67DC9736472}" type="YVALUE">
                      <a:rPr lang="en-GB" baseline="0"/>
                      <a:pPr/>
                      <a:t>[Y VALUE]</a:t>
                    </a:fld>
                    <a:endParaRPr lang="en-GB" baseline="0"/>
                  </a:p>
                </c:rich>
              </c:tx>
              <c:dLblPos val="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3B6-4A7D-AC26-1B9E5131A54F}"/>
                </c:ext>
              </c:extLst>
            </c:dLbl>
            <c:dLbl>
              <c:idx val="6"/>
              <c:tx>
                <c:rich>
                  <a:bodyPr/>
                  <a:lstStyle/>
                  <a:p>
                    <a:fld id="{2FEE7173-1272-4706-9A8F-20A2597AE900}" type="CELLRANGE">
                      <a:rPr lang="en-GB"/>
                      <a:pPr/>
                      <a:t>[CELLRANGE]</a:t>
                    </a:fld>
                    <a:r>
                      <a:rPr lang="en-GB" baseline="0"/>
                      <a:t>, </a:t>
                    </a:r>
                    <a:fld id="{0E11206B-A051-4757-854E-9F2EC9888AEA}" type="YVALUE">
                      <a:rPr lang="en-GB" baseline="0"/>
                      <a:pPr/>
                      <a:t>[Y VALUE]</a:t>
                    </a:fld>
                    <a:endParaRPr lang="en-GB" baseline="0"/>
                  </a:p>
                </c:rich>
              </c:tx>
              <c:dLblPos val="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3B6-4A7D-AC26-1B9E5131A54F}"/>
                </c:ext>
              </c:extLst>
            </c:dLbl>
            <c:dLbl>
              <c:idx val="7"/>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93B6-4A7D-AC26-1B9E5131A54F}"/>
                </c:ext>
              </c:extLst>
            </c:dLbl>
            <c:dLbl>
              <c:idx val="8"/>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93B6-4A7D-AC26-1B9E5131A54F}"/>
                </c:ext>
              </c:extLst>
            </c:dLbl>
            <c:dLbl>
              <c:idx val="9"/>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3B6-4A7D-AC26-1B9E5131A54F}"/>
                </c:ext>
              </c:extLst>
            </c:dLbl>
            <c:dLbl>
              <c:idx val="10"/>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3B6-4A7D-AC26-1B9E5131A54F}"/>
                </c:ext>
              </c:extLst>
            </c:dLbl>
            <c:dLbl>
              <c:idx val="11"/>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3B6-4A7D-AC26-1B9E5131A54F}"/>
                </c:ext>
              </c:extLst>
            </c:dLbl>
            <c:dLbl>
              <c:idx val="12"/>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3B6-4A7D-AC26-1B9E5131A54F}"/>
                </c:ext>
              </c:extLst>
            </c:dLbl>
            <c:dLbl>
              <c:idx val="13"/>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3B6-4A7D-AC26-1B9E5131A54F}"/>
                </c:ext>
              </c:extLst>
            </c:dLbl>
            <c:dLbl>
              <c:idx val="14"/>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3B6-4A7D-AC26-1B9E5131A54F}"/>
                </c:ext>
              </c:extLst>
            </c:dLbl>
            <c:dLbl>
              <c:idx val="15"/>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93B6-4A7D-AC26-1B9E5131A54F}"/>
                </c:ext>
              </c:extLst>
            </c:dLbl>
            <c:dLbl>
              <c:idx val="16"/>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93B6-4A7D-AC26-1B9E5131A54F}"/>
                </c:ext>
              </c:extLst>
            </c:dLbl>
            <c:dLbl>
              <c:idx val="17"/>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3B6-4A7D-AC26-1B9E5131A54F}"/>
                </c:ext>
              </c:extLst>
            </c:dLbl>
            <c:dLbl>
              <c:idx val="18"/>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3B6-4A7D-AC26-1B9E5131A54F}"/>
                </c:ext>
              </c:extLst>
            </c:dLbl>
            <c:dLbl>
              <c:idx val="19"/>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3B6-4A7D-AC26-1B9E5131A54F}"/>
                </c:ext>
              </c:extLst>
            </c:dLbl>
            <c:dLbl>
              <c:idx val="20"/>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93B6-4A7D-AC26-1B9E5131A54F}"/>
                </c:ext>
              </c:extLst>
            </c:dLbl>
            <c:dLbl>
              <c:idx val="21"/>
              <c:tx>
                <c:rich>
                  <a:bodyPr/>
                  <a:lstStyle/>
                  <a:p>
                    <a:endParaRPr lang="en-GB"/>
                  </a:p>
                </c:rich>
              </c:tx>
              <c:dLblPos val="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3B6-4A7D-AC26-1B9E5131A5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Data_2024!$D$2:$D$439</c:f>
              <c:numCache>
                <c:formatCode>_-* #,##0_-;\-* #,##0_-;_-* "-"??_-;_-@_-</c:formatCode>
                <c:ptCount val="22"/>
                <c:pt idx="0">
                  <c:v>328144</c:v>
                </c:pt>
                <c:pt idx="1">
                  <c:v>299249</c:v>
                </c:pt>
                <c:pt idx="2">
                  <c:v>630031</c:v>
                </c:pt>
                <c:pt idx="3">
                  <c:v>184192</c:v>
                </c:pt>
                <c:pt idx="4">
                  <c:v>182846</c:v>
                </c:pt>
                <c:pt idx="5">
                  <c:v>207681</c:v>
                </c:pt>
                <c:pt idx="6">
                  <c:v>355190</c:v>
                </c:pt>
                <c:pt idx="7">
                  <c:v>21000</c:v>
                </c:pt>
                <c:pt idx="8">
                  <c:v>49977</c:v>
                </c:pt>
                <c:pt idx="9">
                  <c:v>11397.6</c:v>
                </c:pt>
                <c:pt idx="10">
                  <c:v>50000</c:v>
                </c:pt>
                <c:pt idx="11">
                  <c:v>8000</c:v>
                </c:pt>
                <c:pt idx="12">
                  <c:v>49995</c:v>
                </c:pt>
                <c:pt idx="13">
                  <c:v>24100</c:v>
                </c:pt>
                <c:pt idx="14">
                  <c:v>49896</c:v>
                </c:pt>
                <c:pt idx="15">
                  <c:v>49917.599999999999</c:v>
                </c:pt>
                <c:pt idx="16">
                  <c:v>39229</c:v>
                </c:pt>
                <c:pt idx="17">
                  <c:v>41480.379999999997</c:v>
                </c:pt>
                <c:pt idx="18">
                  <c:v>46395</c:v>
                </c:pt>
                <c:pt idx="19">
                  <c:v>49576</c:v>
                </c:pt>
                <c:pt idx="20">
                  <c:v>42582.65</c:v>
                </c:pt>
                <c:pt idx="21">
                  <c:v>44988</c:v>
                </c:pt>
              </c:numCache>
            </c:numRef>
          </c:xVal>
          <c:yVal>
            <c:numRef>
              <c:f>Data_2024!$S$2:$S$439</c:f>
              <c:numCache>
                <c:formatCode>General</c:formatCode>
                <c:ptCount val="22"/>
                <c:pt idx="0">
                  <c:v>7850</c:v>
                </c:pt>
                <c:pt idx="3">
                  <c:v>10</c:v>
                </c:pt>
                <c:pt idx="4">
                  <c:v>500</c:v>
                </c:pt>
                <c:pt idx="5">
                  <c:v>0</c:v>
                </c:pt>
                <c:pt idx="6">
                  <c:v>60</c:v>
                </c:pt>
              </c:numCache>
            </c:numRef>
          </c:yVal>
          <c:smooth val="0"/>
          <c:extLst>
            <c:ext xmlns:c15="http://schemas.microsoft.com/office/drawing/2012/chart" uri="{02D57815-91ED-43cb-92C2-25804820EDAC}">
              <c15:datalabelsRange>
                <c15:f>Data_2024!$A$2:$A$439</c15:f>
                <c15:dlblRangeCache>
                  <c:ptCount val="22"/>
                  <c:pt idx="0">
                    <c:v>DPLUS137</c:v>
                  </c:pt>
                  <c:pt idx="1">
                    <c:v>DPLUS175</c:v>
                  </c:pt>
                  <c:pt idx="2">
                    <c:v>DPLUS185</c:v>
                  </c:pt>
                  <c:pt idx="3">
                    <c:v>DPLUS134</c:v>
                  </c:pt>
                  <c:pt idx="4">
                    <c:v>DPLUS135</c:v>
                  </c:pt>
                  <c:pt idx="5">
                    <c:v>DPLUS140</c:v>
                  </c:pt>
                  <c:pt idx="6">
                    <c:v>DPLUS151</c:v>
                  </c:pt>
                  <c:pt idx="7">
                    <c:v>DPL00002</c:v>
                  </c:pt>
                  <c:pt idx="8">
                    <c:v>DPL00004</c:v>
                  </c:pt>
                  <c:pt idx="9">
                    <c:v>DPL00006</c:v>
                  </c:pt>
                  <c:pt idx="10">
                    <c:v>DPL00007</c:v>
                  </c:pt>
                  <c:pt idx="11">
                    <c:v>DPL00009</c:v>
                  </c:pt>
                  <c:pt idx="12">
                    <c:v>DPL00017</c:v>
                  </c:pt>
                  <c:pt idx="13">
                    <c:v>DPL00019</c:v>
                  </c:pt>
                  <c:pt idx="14">
                    <c:v>DPL00031</c:v>
                  </c:pt>
                  <c:pt idx="15">
                    <c:v>DPL00035</c:v>
                  </c:pt>
                  <c:pt idx="16">
                    <c:v>DPL00039</c:v>
                  </c:pt>
                  <c:pt idx="17">
                    <c:v>DPL00044</c:v>
                  </c:pt>
                  <c:pt idx="18">
                    <c:v>DPL00049</c:v>
                  </c:pt>
                  <c:pt idx="19">
                    <c:v>DPL00053</c:v>
                  </c:pt>
                  <c:pt idx="20">
                    <c:v>DPL00059</c:v>
                  </c:pt>
                  <c:pt idx="21">
                    <c:v>DPL00061</c:v>
                  </c:pt>
                </c15:dlblRangeCache>
              </c15:datalabelsRange>
            </c:ext>
            <c:ext xmlns:c16="http://schemas.microsoft.com/office/drawing/2014/chart" uri="{C3380CC4-5D6E-409C-BE32-E72D297353CC}">
              <c16:uniqueId val="{00000000-5C73-4D58-8D7E-204D799AAAD6}"/>
            </c:ext>
          </c:extLst>
        </c:ser>
        <c:dLbls>
          <c:dLblPos val="r"/>
          <c:showLegendKey val="0"/>
          <c:showVal val="1"/>
          <c:showCatName val="0"/>
          <c:showSerName val="0"/>
          <c:showPercent val="0"/>
          <c:showBubbleSize val="0"/>
        </c:dLbls>
        <c:axId val="1426802175"/>
        <c:axId val="1426803615"/>
      </c:scatterChart>
      <c:valAx>
        <c:axId val="142680217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Grant value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803615"/>
        <c:crosses val="autoZero"/>
        <c:crossBetween val="midCat"/>
      </c:valAx>
      <c:valAx>
        <c:axId val="1426803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spc="0" baseline="0">
                    <a:solidFill>
                      <a:sysClr val="windowText" lastClr="000000">
                        <a:lumMod val="65000"/>
                        <a:lumOff val="35000"/>
                      </a:sysClr>
                    </a:solidFill>
                  </a:rPr>
                  <a:t>Target for full project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80217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txData>
          <cx:v>Number of projects by size of target</cx:v>
        </cx:txData>
      </cx:tx>
      <cx:txPr>
        <a:bodyPr spcFirstLastPara="1" vertOverflow="ellipsis" horzOverflow="overflow" wrap="square" lIns="0" tIns="0" rIns="0" bIns="0" anchor="ctr" anchorCtr="1"/>
        <a:lstStyle/>
        <a:p>
          <a:pPr algn="ctr" rtl="0">
            <a:defRPr/>
          </a:pPr>
          <a:r>
            <a:rPr lang="en-US" sz="1400" b="0" i="0" u="none" strike="noStrike" kern="1200" spc="0" baseline="0">
              <a:solidFill>
                <a:sysClr val="windowText" lastClr="000000">
                  <a:lumMod val="65000"/>
                  <a:lumOff val="35000"/>
                </a:sysClr>
              </a:solidFill>
              <a:latin typeface="Calibri" panose="020F0502020204030204"/>
            </a:rPr>
            <a:t>Number of projects by size of target</a:t>
          </a:r>
        </a:p>
      </cx:txPr>
    </cx:title>
    <cx:plotArea>
      <cx:plotAreaRegion>
        <cx:series layoutId="clusteredColumn" uniqueId="{686D3F7E-5200-4683-9D93-473893C2A408}">
          <cx:tx>
            <cx:txData>
              <cx:f>_xlchart.v1.1</cx:f>
              <cx:v>Target for full project</cx:v>
            </cx:txData>
          </cx:tx>
          <cx:dataId val="0"/>
          <cx:layoutPr>
            <cx:binning intervalClosed="r"/>
          </cx:layoutPr>
        </cx:series>
      </cx:plotAreaRegion>
      <cx:axis id="0">
        <cx:catScaling/>
        <cx:title>
          <cx:tx>
            <cx:txData>
              <cx:v>Target for full project</cx:v>
            </cx:txData>
          </cx:tx>
          <cx:txPr>
            <a:bodyPr spcFirstLastPara="1" vertOverflow="ellipsis" horzOverflow="overflow" wrap="square" lIns="0" tIns="0" rIns="0" bIns="0" anchor="ctr" anchorCtr="1"/>
            <a:lstStyle/>
            <a:p>
              <a:pPr algn="ctr" rtl="0">
                <a:defRPr/>
              </a:pPr>
              <a:r>
                <a:rPr lang="en-US" sz="1000" b="0" i="0" u="none" strike="noStrike" kern="1200" baseline="0">
                  <a:solidFill>
                    <a:sysClr val="windowText" lastClr="000000">
                      <a:lumMod val="65000"/>
                      <a:lumOff val="35000"/>
                    </a:sysClr>
                  </a:solidFill>
                  <a:latin typeface="Calibri" panose="020F0502020204030204"/>
                </a:rPr>
                <a:t>Target for full project</a:t>
              </a:r>
            </a:p>
          </cx:txPr>
        </cx:title>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title>
          <cx:tx>
            <cx:txData>
              <cx:v>Number of projects</cx:v>
            </cx:txData>
          </cx:tx>
          <cx:txPr>
            <a:bodyPr spcFirstLastPara="1" vertOverflow="ellipsis" horzOverflow="overflow" wrap="square" lIns="0" tIns="0" rIns="0" bIns="0" anchor="ctr" anchorCtr="1"/>
            <a:lstStyle/>
            <a:p>
              <a:pPr algn="ctr" rtl="0">
                <a:defRPr/>
              </a:pPr>
              <a:r>
                <a:rPr lang="en-US" sz="1000" b="0" i="0" u="none" strike="noStrike" kern="1200" baseline="0">
                  <a:solidFill>
                    <a:sysClr val="windowText" lastClr="000000">
                      <a:lumMod val="65000"/>
                      <a:lumOff val="35000"/>
                    </a:sysClr>
                  </a:solidFill>
                  <a:latin typeface="Calibri" panose="020F0502020204030204"/>
                </a:rPr>
                <a:t>Number of projects</a:t>
              </a:r>
            </a:p>
          </cx:txPr>
        </cx:title>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chart>
</cx: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628650</xdr:colOff>
      <xdr:row>47</xdr:row>
      <xdr:rowOff>73340</xdr:rowOff>
    </xdr:from>
    <xdr:to>
      <xdr:col>9</xdr:col>
      <xdr:colOff>17972</xdr:colOff>
      <xdr:row>68</xdr:row>
      <xdr:rowOff>8985</xdr:rowOff>
    </xdr:to>
    <xdr:graphicFrame macro="">
      <xdr:nvGraphicFramePr>
        <xdr:cNvPr id="4" name="Chart 3">
          <a:extLst>
            <a:ext uri="{FF2B5EF4-FFF2-40B4-BE49-F238E27FC236}">
              <a16:creationId xmlns:a16="http://schemas.microsoft.com/office/drawing/2014/main" id="{AB6E704D-6411-8F3D-0636-59FF0EC409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101600</xdr:rowOff>
    </xdr:from>
    <xdr:to>
      <xdr:col>11</xdr:col>
      <xdr:colOff>34925</xdr:colOff>
      <xdr:row>33</xdr:row>
      <xdr:rowOff>114300</xdr:rowOff>
    </xdr:to>
    <xdr:graphicFrame macro="">
      <xdr:nvGraphicFramePr>
        <xdr:cNvPr id="2" name="Chart 1">
          <a:extLst>
            <a:ext uri="{FF2B5EF4-FFF2-40B4-BE49-F238E27FC236}">
              <a16:creationId xmlns:a16="http://schemas.microsoft.com/office/drawing/2014/main" id="{9146A8D5-5D31-4B7F-BA91-EDDFFA5FE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5</xdr:row>
      <xdr:rowOff>101600</xdr:rowOff>
    </xdr:from>
    <xdr:to>
      <xdr:col>3</xdr:col>
      <xdr:colOff>533400</xdr:colOff>
      <xdr:row>28</xdr:row>
      <xdr:rowOff>9525</xdr:rowOff>
    </xdr:to>
    <mc:AlternateContent xmlns:mc="http://schemas.openxmlformats.org/markup-compatibility/2006" xmlns:sle15="http://schemas.microsoft.com/office/drawing/2012/slicer">
      <mc:Choice Requires="sle15">
        <xdr:graphicFrame macro="">
          <xdr:nvGraphicFramePr>
            <xdr:cNvPr id="4" name="V1.0 standard Indicator reference">
              <a:extLst>
                <a:ext uri="{FF2B5EF4-FFF2-40B4-BE49-F238E27FC236}">
                  <a16:creationId xmlns:a16="http://schemas.microsoft.com/office/drawing/2014/main" id="{93FB11BD-BF8D-49F9-A6A0-2CAC901E8A99}"/>
                </a:ext>
              </a:extLst>
            </xdr:cNvPr>
            <xdr:cNvGraphicFramePr/>
          </xdr:nvGraphicFramePr>
          <xdr:xfrm>
            <a:off x="0" y="0"/>
            <a:ext cx="0" cy="0"/>
          </xdr:xfrm>
          <a:graphic>
            <a:graphicData uri="http://schemas.microsoft.com/office/drawing/2010/slicer">
              <sle:slicer xmlns:sle="http://schemas.microsoft.com/office/drawing/2010/slicer" name="V1.0 standard Indicator reference"/>
            </a:graphicData>
          </a:graphic>
        </xdr:graphicFrame>
      </mc:Choice>
      <mc:Fallback xmlns="">
        <xdr:sp macro="" textlink="">
          <xdr:nvSpPr>
            <xdr:cNvPr id="0" name=""/>
            <xdr:cNvSpPr>
              <a:spLocks noTextEdit="1"/>
            </xdr:cNvSpPr>
          </xdr:nvSpPr>
          <xdr:spPr>
            <a:xfrm>
              <a:off x="438150" y="1009650"/>
              <a:ext cx="1838325" cy="4064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425450</xdr:colOff>
      <xdr:row>28</xdr:row>
      <xdr:rowOff>120650</xdr:rowOff>
    </xdr:from>
    <xdr:to>
      <xdr:col>3</xdr:col>
      <xdr:colOff>539750</xdr:colOff>
      <xdr:row>33</xdr:row>
      <xdr:rowOff>120650</xdr:rowOff>
    </xdr:to>
    <mc:AlternateContent xmlns:mc="http://schemas.openxmlformats.org/markup-compatibility/2006" xmlns:sle15="http://schemas.microsoft.com/office/drawing/2012/slicer">
      <mc:Choice Requires="sle15">
        <xdr:graphicFrame macro="">
          <xdr:nvGraphicFramePr>
            <xdr:cNvPr id="5" name="Scheme">
              <a:extLst>
                <a:ext uri="{FF2B5EF4-FFF2-40B4-BE49-F238E27FC236}">
                  <a16:creationId xmlns:a16="http://schemas.microsoft.com/office/drawing/2014/main" id="{4C61D610-20AA-4DFA-80E4-165540CEE610}"/>
                </a:ext>
              </a:extLst>
            </xdr:cNvPr>
            <xdr:cNvGraphicFramePr/>
          </xdr:nvGraphicFramePr>
          <xdr:xfrm>
            <a:off x="0" y="0"/>
            <a:ext cx="0" cy="0"/>
          </xdr:xfrm>
          <a:graphic>
            <a:graphicData uri="http://schemas.microsoft.com/office/drawing/2010/slicer">
              <sle:slicer xmlns:sle="http://schemas.microsoft.com/office/drawing/2010/slicer" name="Scheme"/>
            </a:graphicData>
          </a:graphic>
        </xdr:graphicFrame>
      </mc:Choice>
      <mc:Fallback xmlns="">
        <xdr:sp macro="" textlink="">
          <xdr:nvSpPr>
            <xdr:cNvPr id="0" name=""/>
            <xdr:cNvSpPr>
              <a:spLocks noTextEdit="1"/>
            </xdr:cNvSpPr>
          </xdr:nvSpPr>
          <xdr:spPr>
            <a:xfrm>
              <a:off x="447675" y="5191125"/>
              <a:ext cx="1838325" cy="9048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11</xdr:col>
      <xdr:colOff>161925</xdr:colOff>
      <xdr:row>5</xdr:row>
      <xdr:rowOff>104775</xdr:rowOff>
    </xdr:from>
    <xdr:to>
      <xdr:col>18</xdr:col>
      <xdr:colOff>196850</xdr:colOff>
      <xdr:row>33</xdr:row>
      <xdr:rowOff>111125</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68BE59F8-3AC2-4478-BFB4-8CBC4F615A04}"/>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781800" y="1009650"/>
              <a:ext cx="4368800" cy="507365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Peter Hargreaves (PEHR)" id="{95BF0786-01EB-45B8-BCC6-175E4D0197D1}" userId="S::PEHR@NIRAS.COM::00df4dcb-1f44-47f9-aa1a-068062952897" providerId="AD"/>
  <person displayName="Victoria Reilly-Pinion (VICP)" id="{717C63EB-88CD-495E-A4F9-A3E566276A02}" userId="S::VICP@NIRAS.COM::7b6c5166-4795-41ec-a62c-17b5cacc4eb5" providerId="AD"/>
  <person displayName="Peter Hargreaves (PEHR)" id="{3A7CF193-E7FE-4898-81E9-BB1959B66071}" userId="S::pehr@niras.com::00df4dcb-1f44-47f9-aa1a-06806295289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Hargreaves (PEHR)" refreshedDate="45485.675827662039" createdVersion="8" refreshedVersion="8" minRefreshableVersion="3" recordCount="556" xr:uid="{50B4318A-4EA6-4687-9B55-886682D01C05}">
  <cacheSource type="worksheet">
    <worksheetSource name="Table3"/>
  </cacheSource>
  <cacheFields count="6">
    <cacheField name="Ref" numFmtId="0">
      <sharedItems count="59">
        <s v="DPLUS089"/>
        <s v="DPLUS102"/>
        <s v="DPLUS109"/>
        <s v="DPLUS110"/>
        <s v="DPLUS112"/>
        <s v="DPLUS113"/>
        <s v="DPLUS114"/>
        <s v="DPLUS118"/>
        <s v="DPLUS120"/>
        <s v="DPLUS121"/>
        <s v="DPLUS125"/>
        <s v="DPLUS126"/>
        <s v="DPLUS127"/>
        <s v="DPLUS128"/>
        <s v="DPLUS130"/>
        <s v="DPLUS131"/>
        <s v="DPLUS133"/>
        <s v="DPLUS134"/>
        <s v="DPLUS135"/>
        <s v="DPLUS137"/>
        <s v="DPLUS138"/>
        <s v="DPLUS140"/>
        <s v="DPLUS141"/>
        <s v="DPLUS144"/>
        <s v="DPLUS149"/>
        <s v="DPLUS151"/>
        <s v="DPLUS153"/>
        <s v="DPLUS155"/>
        <s v="DPLUS157"/>
        <s v="DPLUS158"/>
        <s v="DPLUS159"/>
        <s v="DPLUS160"/>
        <s v="DPLUS161"/>
        <s v="DPLUS162"/>
        <s v="DPLUS163"/>
        <s v="DPLUS164"/>
        <s v="DPLUS165"/>
        <s v="DPLUS166"/>
        <s v="DPLUS167"/>
        <s v="DPLUS169"/>
        <s v="DPLUS174"/>
        <s v="DPLUS175"/>
        <s v="DPLUS176"/>
        <s v="DPLUS177"/>
        <s v="DPLUS178"/>
        <s v="DPLUS179"/>
        <s v="DPLUS180"/>
        <s v="DPLUS181"/>
        <s v="DPLUS182"/>
        <s v="DPLUS183"/>
        <s v="DPLUS184"/>
        <s v="DPLUS185"/>
        <s v="DPLUS186"/>
        <s v="DPLUS189"/>
        <s v="DPLUS190"/>
        <s v="DPLUS191"/>
        <s v="DPLUS192"/>
        <s v="DPLUS195"/>
        <s v="DPLUS196"/>
      </sharedItems>
    </cacheField>
    <cacheField name="Round" numFmtId="0">
      <sharedItems containsSemiMixedTypes="0" containsString="0" containsNumber="1" containsInteger="1" minValue="7" maxValue="11" count="5">
        <n v="7"/>
        <n v="8"/>
        <n v="9"/>
        <n v="10"/>
        <n v="11"/>
      </sharedItems>
    </cacheField>
    <cacheField name="Year" numFmtId="0">
      <sharedItems containsSemiMixedTypes="0" containsString="0" containsNumber="1" containsInteger="1" minValue="2020" maxValue="2024"/>
    </cacheField>
    <cacheField name="ReportingYear" numFmtId="0">
      <sharedItems count="3">
        <s v="Y1"/>
        <s v="Y2"/>
        <s v="Y3"/>
      </sharedItems>
    </cacheField>
    <cacheField name="SI" numFmtId="0">
      <sharedItems count="61">
        <s v="DPLUS-A01"/>
        <s v="DPLUS-A03"/>
        <s v="DPLUS-B06"/>
        <s v="DPLUS-C01"/>
        <s v="DPLUS-C17"/>
        <s v="DPLUS-B01"/>
        <s v="DPLUS-C18"/>
        <s v="DPLUS-C19"/>
        <s v="DPLUS-D01"/>
        <s v="DPLUS-A07"/>
        <s v="DPLUS-C02"/>
        <s v="DPLUS-C08"/>
        <s v="DPLUS-C15"/>
        <s v="DPLUS-C16"/>
        <s v="DPLUS-B02"/>
        <s v="DPLUS-B11"/>
        <s v="DPLUS-C07"/>
        <s v="DPLUS-C12"/>
        <s v="DPLUS-A04"/>
        <s v="DPLUS-C13"/>
        <s v="DPLUS-C03"/>
        <s v="DPLUS-C14"/>
        <s v="DPLUS-C05"/>
        <s v="DPLUS-A05"/>
        <s v="DPLUS-B05"/>
        <s v="DPLUS-B10"/>
        <s v="DPLUS-B03"/>
        <s v="DPLUS-D04"/>
        <s v="DPLUS-C04"/>
        <s v="DPLUS-D03"/>
        <s v="DPLUS-E03"/>
        <s v="DPLUS-C09"/>
        <s v="DPLUS-D12"/>
        <s v="DPLUS-A02"/>
        <s v="DPLUS-A04  "/>
        <s v="DPLUS-D02"/>
        <s v="DPLUS-B04"/>
        <s v="DPLUS-C05 "/>
        <s v="DPLUS-C12 "/>
        <s v="DPLUS-A07 "/>
        <s v="DPLUS-A03 "/>
        <s v="DPLUS-B02 "/>
        <s v="DPLUS-B11 "/>
        <s v="DPLUS-C03 "/>
        <s v="DPLUS-C06 "/>
        <s v="DPLUS-C07 "/>
        <s v="DPLUS-C15 "/>
        <s v="DPLUS-C17 "/>
        <s v="DPLUS-C18 "/>
        <s v="DPLUS-C19 "/>
        <s v="DPLUS-D01 "/>
        <s v="DPLUS-C01 "/>
        <s v="DPLUS-C08 "/>
        <s v="DPLUS-C16 "/>
        <s v="DPLUS-D11"/>
        <s v="DPLUS-A01 "/>
        <s v="DPLUS-B05 "/>
        <s v="DPLUS-D12 "/>
        <s v="DPLUS-D18"/>
        <s v="DPLUS-A04 "/>
        <s v="DPLUS-C14 "/>
      </sharedItems>
    </cacheField>
    <cacheField name="Result" numFmtId="0">
      <sharedItems containsSemiMixedTypes="0" containsString="0" containsNumber="1" minValue="0" maxValue="18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Hargreaves (PEHR)" refreshedDate="45488.659198958332" createdVersion="8" refreshedVersion="8" minRefreshableVersion="3" recordCount="329" xr:uid="{11C4AA9E-53BF-4F3C-AF11-E59CE3F9E570}">
  <cacheSource type="worksheet">
    <worksheetSource ref="B1:D330" sheet="Data_Planned"/>
  </cacheSource>
  <cacheFields count="3">
    <cacheField name="StandardIndicatorReference" numFmtId="0">
      <sharedItems count="43">
        <s v="DPLUS-A01"/>
        <s v="DPLUS-A03"/>
        <s v="DPLUS-B06"/>
        <s v="DPLUS-C01"/>
        <s v="DPLUS-D03"/>
        <s v="DPLUS-C17"/>
        <s v="DPLUS-B01"/>
        <s v="DPLUS-C18"/>
        <s v="DPLUS-C19"/>
        <s v="DPLUS-D01"/>
        <s v="DPLUS-A07"/>
        <s v="DPLUS-C02"/>
        <s v="DPLUS-C08"/>
        <s v="DPLUS-C16"/>
        <s v="DPLUS-A02"/>
        <s v="DPLUS-C15"/>
        <s v="DPLUS-B02"/>
        <s v="DPLUS-B11"/>
        <s v="DPLUS-C07"/>
        <s v="DPLUS-C12"/>
        <s v="DPLUS-B12"/>
        <s v="DPLUS-A04"/>
        <s v="DPLUS-C13"/>
        <s v="DPLUS-C03"/>
        <s v="DPLUS-C11"/>
        <s v="DPLUS-C05"/>
        <s v="DPLUS-A05"/>
        <s v="DPLUS-B04"/>
        <s v="DPLUS-B05"/>
        <s v="DPLUS-B10"/>
        <s v="DPLUS-B03"/>
        <s v="DPLUS-C09"/>
        <s v="DPLUS-D04"/>
        <s v="DPLUS-A05 "/>
        <s v="DPLUS-C14"/>
        <s v="DPLUS-C04"/>
        <s v="DPLUS-E03"/>
        <s v="DPLUS-C10"/>
        <s v="DPLUS-D12"/>
        <s v="DPLUS-D02"/>
        <s v="DPLUS-C06"/>
        <s v="DPLUS-D11"/>
        <s v="DPLUS-D18"/>
      </sharedItems>
    </cacheField>
    <cacheField name="Round" numFmtId="0">
      <sharedItems containsSemiMixedTypes="0" containsString="0" containsNumber="1" containsInteger="1" minValue="8" maxValue="11" count="4">
        <n v="8"/>
        <n v="9"/>
        <n v="10"/>
        <n v="11"/>
      </sharedItems>
    </cacheField>
    <cacheField name="Target" numFmtId="0">
      <sharedItems containsMixedTypes="1" containsNumber="1" minValue="0" maxValue="658000" count="45">
        <n v="3"/>
        <n v="2"/>
        <n v="8"/>
        <n v="1"/>
        <n v="60"/>
        <n v="4"/>
        <n v="5"/>
        <n v="20.56"/>
        <n v="20"/>
        <n v="15"/>
        <n v="0"/>
        <n v="100"/>
        <n v="6"/>
        <n v="30"/>
        <n v="3000"/>
        <n v="1000"/>
        <n v="10"/>
        <n v="300"/>
        <n v="21"/>
        <n v="400"/>
        <n v="53"/>
        <n v="19"/>
        <n v="500"/>
        <n v="7850"/>
        <n v="1500"/>
        <n v="40"/>
        <n v="26"/>
        <n v="13"/>
        <n v="36"/>
        <n v="24"/>
        <n v="9"/>
        <n v="540000"/>
        <n v="250000"/>
        <n v="5000"/>
        <n v="50000"/>
        <n v="200"/>
        <n v="80000"/>
        <n v="1.62"/>
        <s v="NA"/>
        <n v="34"/>
        <n v="68500"/>
        <n v="658000"/>
        <n v="50"/>
        <n v="32"/>
        <n v="31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Hargreaves (PEHR)" refreshedDate="45490.482623379627" createdVersion="8" refreshedVersion="8" minRefreshableVersion="3" recordCount="329" xr:uid="{AAE26D2A-807E-4F05-898D-1887447A9445}">
  <cacheSource type="worksheet">
    <worksheetSource ref="A1:D330" sheet="Data_Planned"/>
  </cacheSource>
  <cacheFields count="4">
    <cacheField name="Ref" numFmtId="0">
      <sharedItems count="55">
        <s v="DPLUS102"/>
        <s v="DPLUS109"/>
        <s v="DPLUS110"/>
        <s v="DPLUS112"/>
        <s v="DPLUS113"/>
        <s v="DPLUS114"/>
        <s v="DPLUS120"/>
        <s v="DPLUS121"/>
        <s v="DPLUS125"/>
        <s v="DPLUS126"/>
        <s v="DPLUS127"/>
        <s v="DPLUS128"/>
        <s v="DPLUS130"/>
        <s v="DPLUS131"/>
        <s v="DPLUS133"/>
        <s v="DPLUS134"/>
        <s v="DPLUS135"/>
        <s v="DPLUS137"/>
        <s v="DPLUS138"/>
        <s v="DPLUS140"/>
        <s v="DPLUS141"/>
        <s v="DPLUS144"/>
        <s v="DPLUS149"/>
        <s v="DPLUS151"/>
        <s v="DPLUS153"/>
        <s v="DPLUS155"/>
        <s v="DPLUS157"/>
        <s v="DPLUS158"/>
        <s v="DPLUS159"/>
        <s v="DPLUS160"/>
        <s v="DPLUS161"/>
        <s v="DPLUS162"/>
        <s v="DPLUS163"/>
        <s v="DPLUS164"/>
        <s v="DPLUS165"/>
        <s v="DPLUS166"/>
        <s v="DPLUS167"/>
        <s v="DPLUS169"/>
        <s v="DPLUS174"/>
        <s v="DPLUS175"/>
        <s v="DPLUS176"/>
        <s v="DPLUS177"/>
        <s v="DPLUS178"/>
        <s v="DPLUS179"/>
        <s v="DPLUS180"/>
        <s v="DPLUS181"/>
        <s v="DPLUS182"/>
        <s v="DPLUS183"/>
        <s v="DPLUS185"/>
        <s v="DPLUS186"/>
        <s v="DPLUS189"/>
        <s v="DPLUS191"/>
        <s v="DPLUS192"/>
        <s v="DPLUS195"/>
        <s v="DPLUS196"/>
      </sharedItems>
    </cacheField>
    <cacheField name="StandardIndicatorReference" numFmtId="0">
      <sharedItems count="43">
        <s v="DPLUS-A01"/>
        <s v="DPLUS-A03"/>
        <s v="DPLUS-B06"/>
        <s v="DPLUS-C01"/>
        <s v="DPLUS-D03"/>
        <s v="DPLUS-C17"/>
        <s v="DPLUS-B01"/>
        <s v="DPLUS-C18"/>
        <s v="DPLUS-C19"/>
        <s v="DPLUS-D01"/>
        <s v="DPLUS-A07"/>
        <s v="DPLUS-C02"/>
        <s v="DPLUS-C08"/>
        <s v="DPLUS-C16"/>
        <s v="DPLUS-A02"/>
        <s v="DPLUS-C15"/>
        <s v="DPLUS-B02"/>
        <s v="DPLUS-B11"/>
        <s v="DPLUS-C07"/>
        <s v="DPLUS-C12"/>
        <s v="DPLUS-B12"/>
        <s v="DPLUS-A04"/>
        <s v="DPLUS-C13"/>
        <s v="DPLUS-C03"/>
        <s v="DPLUS-C11"/>
        <s v="DPLUS-C05"/>
        <s v="DPLUS-A05"/>
        <s v="DPLUS-B04"/>
        <s v="DPLUS-B05"/>
        <s v="DPLUS-B10"/>
        <s v="DPLUS-B03"/>
        <s v="DPLUS-C09"/>
        <s v="DPLUS-D04"/>
        <s v="DPLUS-A05 "/>
        <s v="DPLUS-C14"/>
        <s v="DPLUS-C04"/>
        <s v="DPLUS-E03"/>
        <s v="DPLUS-C10"/>
        <s v="DPLUS-D12"/>
        <s v="DPLUS-D02"/>
        <s v="DPLUS-C06"/>
        <s v="DPLUS-D11"/>
        <s v="DPLUS-D18"/>
      </sharedItems>
    </cacheField>
    <cacheField name="Round" numFmtId="0">
      <sharedItems containsSemiMixedTypes="0" containsString="0" containsNumber="1" containsInteger="1" minValue="8" maxValue="11" count="4">
        <n v="8"/>
        <n v="9"/>
        <n v="10"/>
        <n v="11"/>
      </sharedItems>
    </cacheField>
    <cacheField name="Target" numFmtId="0">
      <sharedItems containsMixedTypes="1" containsNumber="1" minValue="0" maxValue="658000" count="45">
        <n v="3"/>
        <n v="2"/>
        <n v="8"/>
        <n v="1"/>
        <n v="60"/>
        <n v="4"/>
        <n v="5"/>
        <n v="20.56"/>
        <n v="20"/>
        <n v="15"/>
        <n v="0"/>
        <n v="100"/>
        <n v="6"/>
        <n v="30"/>
        <n v="3000"/>
        <n v="1000"/>
        <n v="10"/>
        <n v="300"/>
        <n v="21"/>
        <n v="400"/>
        <n v="53"/>
        <n v="19"/>
        <n v="500"/>
        <n v="7850"/>
        <n v="1500"/>
        <n v="40"/>
        <n v="26"/>
        <n v="13"/>
        <n v="36"/>
        <n v="24"/>
        <n v="9"/>
        <n v="540000"/>
        <n v="250000"/>
        <n v="5000"/>
        <n v="50000"/>
        <n v="200"/>
        <n v="80000"/>
        <n v="1.62"/>
        <s v="NA"/>
        <n v="34"/>
        <n v="68500"/>
        <n v="658000"/>
        <n v="50"/>
        <n v="32"/>
        <n v="31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6">
  <r>
    <x v="0"/>
    <x v="0"/>
    <n v="2020"/>
    <x v="0"/>
    <x v="0"/>
    <n v="0"/>
  </r>
  <r>
    <x v="0"/>
    <x v="0"/>
    <n v="2021"/>
    <x v="1"/>
    <x v="0"/>
    <n v="3"/>
  </r>
  <r>
    <x v="0"/>
    <x v="0"/>
    <n v="2022"/>
    <x v="2"/>
    <x v="0"/>
    <n v="0"/>
  </r>
  <r>
    <x v="1"/>
    <x v="1"/>
    <n v="2021"/>
    <x v="0"/>
    <x v="0"/>
    <n v="0"/>
  </r>
  <r>
    <x v="1"/>
    <x v="1"/>
    <n v="2022"/>
    <x v="1"/>
    <x v="0"/>
    <n v="5"/>
  </r>
  <r>
    <x v="1"/>
    <x v="1"/>
    <n v="2023"/>
    <x v="2"/>
    <x v="0"/>
    <n v="0"/>
  </r>
  <r>
    <x v="1"/>
    <x v="1"/>
    <n v="2021"/>
    <x v="0"/>
    <x v="1"/>
    <n v="0"/>
  </r>
  <r>
    <x v="1"/>
    <x v="1"/>
    <n v="2022"/>
    <x v="1"/>
    <x v="1"/>
    <n v="2"/>
  </r>
  <r>
    <x v="1"/>
    <x v="1"/>
    <n v="2023"/>
    <x v="2"/>
    <x v="1"/>
    <n v="0"/>
  </r>
  <r>
    <x v="1"/>
    <x v="1"/>
    <n v="2021"/>
    <x v="0"/>
    <x v="2"/>
    <n v="0"/>
  </r>
  <r>
    <x v="1"/>
    <x v="1"/>
    <n v="2022"/>
    <x v="1"/>
    <x v="2"/>
    <n v="8"/>
  </r>
  <r>
    <x v="1"/>
    <x v="1"/>
    <n v="2023"/>
    <x v="2"/>
    <x v="2"/>
    <n v="0"/>
  </r>
  <r>
    <x v="1"/>
    <x v="1"/>
    <n v="2021"/>
    <x v="0"/>
    <x v="3"/>
    <n v="0"/>
  </r>
  <r>
    <x v="1"/>
    <x v="1"/>
    <n v="2022"/>
    <x v="1"/>
    <x v="3"/>
    <n v="3"/>
  </r>
  <r>
    <x v="1"/>
    <x v="1"/>
    <n v="2023"/>
    <x v="2"/>
    <x v="3"/>
    <n v="0"/>
  </r>
  <r>
    <x v="2"/>
    <x v="1"/>
    <n v="2021"/>
    <x v="0"/>
    <x v="0"/>
    <n v="0"/>
  </r>
  <r>
    <x v="2"/>
    <x v="1"/>
    <n v="2022"/>
    <x v="1"/>
    <x v="0"/>
    <n v="3"/>
  </r>
  <r>
    <x v="2"/>
    <x v="1"/>
    <n v="2023"/>
    <x v="2"/>
    <x v="0"/>
    <n v="0"/>
  </r>
  <r>
    <x v="2"/>
    <x v="1"/>
    <n v="2021"/>
    <x v="0"/>
    <x v="3"/>
    <n v="0"/>
  </r>
  <r>
    <x v="2"/>
    <x v="1"/>
    <n v="2022"/>
    <x v="1"/>
    <x v="3"/>
    <n v="0"/>
  </r>
  <r>
    <x v="2"/>
    <x v="1"/>
    <n v="2023"/>
    <x v="2"/>
    <x v="3"/>
    <n v="1"/>
  </r>
  <r>
    <x v="2"/>
    <x v="1"/>
    <n v="2021"/>
    <x v="0"/>
    <x v="4"/>
    <n v="0"/>
  </r>
  <r>
    <x v="2"/>
    <x v="1"/>
    <n v="2022"/>
    <x v="1"/>
    <x v="4"/>
    <n v="0"/>
  </r>
  <r>
    <x v="2"/>
    <x v="1"/>
    <n v="2023"/>
    <x v="2"/>
    <x v="4"/>
    <n v="3"/>
  </r>
  <r>
    <x v="3"/>
    <x v="1"/>
    <n v="2021"/>
    <x v="0"/>
    <x v="0"/>
    <n v="0"/>
  </r>
  <r>
    <x v="3"/>
    <x v="1"/>
    <n v="2022"/>
    <x v="1"/>
    <x v="0"/>
    <n v="14"/>
  </r>
  <r>
    <x v="3"/>
    <x v="1"/>
    <n v="2023"/>
    <x v="2"/>
    <x v="0"/>
    <n v="0"/>
  </r>
  <r>
    <x v="4"/>
    <x v="1"/>
    <n v="2021"/>
    <x v="0"/>
    <x v="0"/>
    <n v="20"/>
  </r>
  <r>
    <x v="4"/>
    <x v="1"/>
    <n v="2022"/>
    <x v="1"/>
    <x v="0"/>
    <n v="0"/>
  </r>
  <r>
    <x v="4"/>
    <x v="1"/>
    <n v="2023"/>
    <x v="2"/>
    <x v="0"/>
    <n v="0"/>
  </r>
  <r>
    <x v="4"/>
    <x v="1"/>
    <n v="2021"/>
    <x v="0"/>
    <x v="4"/>
    <n v="1"/>
  </r>
  <r>
    <x v="4"/>
    <x v="1"/>
    <n v="2022"/>
    <x v="1"/>
    <x v="4"/>
    <n v="0"/>
  </r>
  <r>
    <x v="4"/>
    <x v="1"/>
    <n v="2023"/>
    <x v="2"/>
    <x v="4"/>
    <n v="0"/>
  </r>
  <r>
    <x v="5"/>
    <x v="1"/>
    <n v="2021"/>
    <x v="0"/>
    <x v="1"/>
    <n v="0"/>
  </r>
  <r>
    <x v="5"/>
    <x v="1"/>
    <n v="2022"/>
    <x v="1"/>
    <x v="1"/>
    <n v="1"/>
  </r>
  <r>
    <x v="5"/>
    <x v="1"/>
    <n v="2023"/>
    <x v="2"/>
    <x v="1"/>
    <n v="0"/>
  </r>
  <r>
    <x v="5"/>
    <x v="1"/>
    <n v="2021"/>
    <x v="0"/>
    <x v="5"/>
    <n v="0"/>
  </r>
  <r>
    <x v="5"/>
    <x v="1"/>
    <n v="2022"/>
    <x v="1"/>
    <x v="5"/>
    <n v="0"/>
  </r>
  <r>
    <x v="5"/>
    <x v="1"/>
    <n v="2023"/>
    <x v="2"/>
    <x v="5"/>
    <n v="5"/>
  </r>
  <r>
    <x v="5"/>
    <x v="1"/>
    <n v="2021"/>
    <x v="0"/>
    <x v="4"/>
    <n v="0"/>
  </r>
  <r>
    <x v="5"/>
    <x v="1"/>
    <n v="2022"/>
    <x v="1"/>
    <x v="4"/>
    <n v="0"/>
  </r>
  <r>
    <x v="5"/>
    <x v="1"/>
    <n v="2023"/>
    <x v="2"/>
    <x v="4"/>
    <n v="2"/>
  </r>
  <r>
    <x v="5"/>
    <x v="1"/>
    <n v="2021"/>
    <x v="0"/>
    <x v="6"/>
    <n v="0"/>
  </r>
  <r>
    <x v="5"/>
    <x v="1"/>
    <n v="2022"/>
    <x v="1"/>
    <x v="6"/>
    <n v="1"/>
  </r>
  <r>
    <x v="5"/>
    <x v="1"/>
    <n v="2023"/>
    <x v="2"/>
    <x v="6"/>
    <n v="0"/>
  </r>
  <r>
    <x v="5"/>
    <x v="1"/>
    <n v="2021"/>
    <x v="0"/>
    <x v="7"/>
    <n v="0"/>
  </r>
  <r>
    <x v="5"/>
    <x v="1"/>
    <n v="2022"/>
    <x v="1"/>
    <x v="7"/>
    <n v="0"/>
  </r>
  <r>
    <x v="5"/>
    <x v="1"/>
    <n v="2023"/>
    <x v="2"/>
    <x v="7"/>
    <n v="2"/>
  </r>
  <r>
    <x v="5"/>
    <x v="1"/>
    <n v="2021"/>
    <x v="0"/>
    <x v="8"/>
    <n v="0"/>
  </r>
  <r>
    <x v="5"/>
    <x v="1"/>
    <n v="2022"/>
    <x v="1"/>
    <x v="8"/>
    <n v="0"/>
  </r>
  <r>
    <x v="5"/>
    <x v="1"/>
    <n v="2023"/>
    <x v="2"/>
    <x v="8"/>
    <n v="20.56"/>
  </r>
  <r>
    <x v="6"/>
    <x v="1"/>
    <n v="2023"/>
    <x v="0"/>
    <x v="0"/>
    <n v="4"/>
  </r>
  <r>
    <x v="6"/>
    <x v="1"/>
    <n v="2024"/>
    <x v="1"/>
    <x v="0"/>
    <n v="0"/>
  </r>
  <r>
    <x v="6"/>
    <x v="1"/>
    <n v="2023"/>
    <x v="0"/>
    <x v="9"/>
    <n v="0"/>
  </r>
  <r>
    <x v="6"/>
    <x v="1"/>
    <n v="2024"/>
    <x v="1"/>
    <x v="9"/>
    <n v="0"/>
  </r>
  <r>
    <x v="6"/>
    <x v="1"/>
    <n v="2023"/>
    <x v="0"/>
    <x v="10"/>
    <n v="0"/>
  </r>
  <r>
    <x v="6"/>
    <x v="1"/>
    <n v="2024"/>
    <x v="1"/>
    <x v="10"/>
    <n v="128"/>
  </r>
  <r>
    <x v="6"/>
    <x v="1"/>
    <n v="2023"/>
    <x v="0"/>
    <x v="11"/>
    <n v="0"/>
  </r>
  <r>
    <x v="6"/>
    <x v="1"/>
    <n v="2024"/>
    <x v="1"/>
    <x v="11"/>
    <n v="0"/>
  </r>
  <r>
    <x v="6"/>
    <x v="1"/>
    <n v="2023"/>
    <x v="0"/>
    <x v="12"/>
    <n v="2"/>
  </r>
  <r>
    <x v="6"/>
    <x v="1"/>
    <n v="2024"/>
    <x v="1"/>
    <x v="12"/>
    <n v="0"/>
  </r>
  <r>
    <x v="6"/>
    <x v="1"/>
    <n v="2023"/>
    <x v="0"/>
    <x v="13"/>
    <n v="0"/>
  </r>
  <r>
    <x v="6"/>
    <x v="1"/>
    <n v="2024"/>
    <x v="1"/>
    <x v="13"/>
    <n v="0"/>
  </r>
  <r>
    <x v="6"/>
    <x v="1"/>
    <n v="2023"/>
    <x v="0"/>
    <x v="7"/>
    <n v="0"/>
  </r>
  <r>
    <x v="6"/>
    <x v="1"/>
    <n v="2024"/>
    <x v="1"/>
    <x v="7"/>
    <n v="0"/>
  </r>
  <r>
    <x v="7"/>
    <x v="1"/>
    <n v="2021"/>
    <x v="0"/>
    <x v="0"/>
    <n v="4"/>
  </r>
  <r>
    <x v="7"/>
    <x v="1"/>
    <n v="2022"/>
    <x v="1"/>
    <x v="0"/>
    <n v="1"/>
  </r>
  <r>
    <x v="7"/>
    <x v="1"/>
    <n v="2023"/>
    <x v="2"/>
    <x v="0"/>
    <n v="0"/>
  </r>
  <r>
    <x v="8"/>
    <x v="1"/>
    <n v="2021"/>
    <x v="0"/>
    <x v="0"/>
    <n v="20"/>
  </r>
  <r>
    <x v="8"/>
    <x v="1"/>
    <n v="2022"/>
    <x v="1"/>
    <x v="0"/>
    <n v="0"/>
  </r>
  <r>
    <x v="8"/>
    <x v="1"/>
    <n v="2023"/>
    <x v="2"/>
    <x v="0"/>
    <n v="0"/>
  </r>
  <r>
    <x v="8"/>
    <x v="1"/>
    <n v="2021"/>
    <x v="0"/>
    <x v="4"/>
    <n v="1"/>
  </r>
  <r>
    <x v="8"/>
    <x v="1"/>
    <n v="2022"/>
    <x v="1"/>
    <x v="4"/>
    <n v="0"/>
  </r>
  <r>
    <x v="8"/>
    <x v="1"/>
    <n v="2023"/>
    <x v="2"/>
    <x v="4"/>
    <n v="0"/>
  </r>
  <r>
    <x v="9"/>
    <x v="1"/>
    <n v="2021"/>
    <x v="0"/>
    <x v="0"/>
    <n v="20"/>
  </r>
  <r>
    <x v="9"/>
    <x v="1"/>
    <n v="2022"/>
    <x v="1"/>
    <x v="0"/>
    <n v="0"/>
  </r>
  <r>
    <x v="9"/>
    <x v="1"/>
    <n v="2023"/>
    <x v="2"/>
    <x v="0"/>
    <n v="0"/>
  </r>
  <r>
    <x v="9"/>
    <x v="1"/>
    <n v="2021"/>
    <x v="0"/>
    <x v="4"/>
    <n v="1"/>
  </r>
  <r>
    <x v="9"/>
    <x v="1"/>
    <n v="2022"/>
    <x v="1"/>
    <x v="4"/>
    <n v="0"/>
  </r>
  <r>
    <x v="9"/>
    <x v="1"/>
    <n v="2023"/>
    <x v="2"/>
    <x v="4"/>
    <n v="0"/>
  </r>
  <r>
    <x v="10"/>
    <x v="2"/>
    <n v="2022"/>
    <x v="0"/>
    <x v="0"/>
    <n v="0"/>
  </r>
  <r>
    <x v="10"/>
    <x v="2"/>
    <n v="2023"/>
    <x v="1"/>
    <x v="0"/>
    <n v="15"/>
  </r>
  <r>
    <x v="10"/>
    <x v="2"/>
    <n v="2024"/>
    <x v="2"/>
    <x v="0"/>
    <n v="0"/>
  </r>
  <r>
    <x v="10"/>
    <x v="2"/>
    <n v="2022"/>
    <x v="0"/>
    <x v="1"/>
    <n v="0"/>
  </r>
  <r>
    <x v="10"/>
    <x v="2"/>
    <n v="2023"/>
    <x v="1"/>
    <x v="1"/>
    <n v="3"/>
  </r>
  <r>
    <x v="10"/>
    <x v="2"/>
    <n v="2024"/>
    <x v="2"/>
    <x v="1"/>
    <n v="3"/>
  </r>
  <r>
    <x v="10"/>
    <x v="2"/>
    <n v="2022"/>
    <x v="0"/>
    <x v="14"/>
    <n v="0"/>
  </r>
  <r>
    <x v="10"/>
    <x v="2"/>
    <n v="2023"/>
    <x v="1"/>
    <x v="14"/>
    <n v="0"/>
  </r>
  <r>
    <x v="10"/>
    <x v="2"/>
    <n v="2024"/>
    <x v="2"/>
    <x v="14"/>
    <n v="0"/>
  </r>
  <r>
    <x v="10"/>
    <x v="2"/>
    <n v="2022"/>
    <x v="0"/>
    <x v="3"/>
    <n v="0"/>
  </r>
  <r>
    <x v="10"/>
    <x v="2"/>
    <n v="2023"/>
    <x v="1"/>
    <x v="3"/>
    <n v="0"/>
  </r>
  <r>
    <x v="10"/>
    <x v="2"/>
    <n v="2024"/>
    <x v="2"/>
    <x v="3"/>
    <n v="0"/>
  </r>
  <r>
    <x v="10"/>
    <x v="2"/>
    <n v="2022"/>
    <x v="0"/>
    <x v="10"/>
    <n v="0"/>
  </r>
  <r>
    <x v="10"/>
    <x v="2"/>
    <n v="2023"/>
    <x v="1"/>
    <x v="10"/>
    <n v="0"/>
  </r>
  <r>
    <x v="10"/>
    <x v="2"/>
    <n v="2024"/>
    <x v="2"/>
    <x v="10"/>
    <n v="0"/>
  </r>
  <r>
    <x v="11"/>
    <x v="2"/>
    <n v="2022"/>
    <x v="0"/>
    <x v="0"/>
    <n v="0"/>
  </r>
  <r>
    <x v="11"/>
    <x v="2"/>
    <n v="2023"/>
    <x v="1"/>
    <x v="0"/>
    <n v="0"/>
  </r>
  <r>
    <x v="11"/>
    <x v="2"/>
    <n v="2024"/>
    <x v="2"/>
    <x v="0"/>
    <n v="3"/>
  </r>
  <r>
    <x v="11"/>
    <x v="2"/>
    <n v="2022"/>
    <x v="0"/>
    <x v="1"/>
    <n v="0"/>
  </r>
  <r>
    <x v="11"/>
    <x v="2"/>
    <n v="2023"/>
    <x v="1"/>
    <x v="1"/>
    <n v="0"/>
  </r>
  <r>
    <x v="11"/>
    <x v="2"/>
    <n v="2024"/>
    <x v="2"/>
    <x v="1"/>
    <n v="1"/>
  </r>
  <r>
    <x v="11"/>
    <x v="2"/>
    <n v="2022"/>
    <x v="0"/>
    <x v="9"/>
    <n v="0"/>
  </r>
  <r>
    <x v="11"/>
    <x v="2"/>
    <n v="2023"/>
    <x v="1"/>
    <x v="9"/>
    <n v="0"/>
  </r>
  <r>
    <x v="11"/>
    <x v="2"/>
    <n v="2024"/>
    <x v="2"/>
    <x v="9"/>
    <n v="0"/>
  </r>
  <r>
    <x v="11"/>
    <x v="2"/>
    <n v="2022"/>
    <x v="0"/>
    <x v="14"/>
    <n v="0"/>
  </r>
  <r>
    <x v="11"/>
    <x v="2"/>
    <n v="2023"/>
    <x v="1"/>
    <x v="14"/>
    <n v="0"/>
  </r>
  <r>
    <x v="11"/>
    <x v="2"/>
    <n v="2024"/>
    <x v="2"/>
    <x v="14"/>
    <n v="0"/>
  </r>
  <r>
    <x v="11"/>
    <x v="2"/>
    <n v="2022"/>
    <x v="0"/>
    <x v="15"/>
    <n v="0"/>
  </r>
  <r>
    <x v="11"/>
    <x v="2"/>
    <n v="2023"/>
    <x v="1"/>
    <x v="15"/>
    <n v="0"/>
  </r>
  <r>
    <x v="11"/>
    <x v="2"/>
    <n v="2024"/>
    <x v="2"/>
    <x v="15"/>
    <n v="3"/>
  </r>
  <r>
    <x v="11"/>
    <x v="2"/>
    <n v="2022"/>
    <x v="0"/>
    <x v="3"/>
    <n v="0"/>
  </r>
  <r>
    <x v="11"/>
    <x v="2"/>
    <n v="2023"/>
    <x v="1"/>
    <x v="3"/>
    <n v="0"/>
  </r>
  <r>
    <x v="11"/>
    <x v="2"/>
    <n v="2024"/>
    <x v="2"/>
    <x v="3"/>
    <n v="0"/>
  </r>
  <r>
    <x v="11"/>
    <x v="2"/>
    <n v="2022"/>
    <x v="0"/>
    <x v="16"/>
    <n v="0"/>
  </r>
  <r>
    <x v="11"/>
    <x v="2"/>
    <n v="2023"/>
    <x v="1"/>
    <x v="16"/>
    <n v="1"/>
  </r>
  <r>
    <x v="11"/>
    <x v="2"/>
    <n v="2024"/>
    <x v="2"/>
    <x v="16"/>
    <n v="0"/>
  </r>
  <r>
    <x v="11"/>
    <x v="2"/>
    <n v="2022"/>
    <x v="0"/>
    <x v="11"/>
    <n v="0"/>
  </r>
  <r>
    <x v="11"/>
    <x v="2"/>
    <n v="2023"/>
    <x v="1"/>
    <x v="11"/>
    <n v="0"/>
  </r>
  <r>
    <x v="11"/>
    <x v="2"/>
    <n v="2024"/>
    <x v="2"/>
    <x v="11"/>
    <n v="3"/>
  </r>
  <r>
    <x v="11"/>
    <x v="2"/>
    <n v="2022"/>
    <x v="0"/>
    <x v="17"/>
    <n v="1000"/>
  </r>
  <r>
    <x v="11"/>
    <x v="2"/>
    <n v="2023"/>
    <x v="1"/>
    <x v="17"/>
    <n v="1000"/>
  </r>
  <r>
    <x v="11"/>
    <x v="2"/>
    <n v="2024"/>
    <x v="2"/>
    <x v="17"/>
    <n v="1000"/>
  </r>
  <r>
    <x v="11"/>
    <x v="2"/>
    <n v="2022"/>
    <x v="0"/>
    <x v="12"/>
    <n v="2"/>
  </r>
  <r>
    <x v="11"/>
    <x v="2"/>
    <n v="2023"/>
    <x v="1"/>
    <x v="12"/>
    <n v="8"/>
  </r>
  <r>
    <x v="11"/>
    <x v="2"/>
    <n v="2024"/>
    <x v="2"/>
    <x v="12"/>
    <n v="6"/>
  </r>
  <r>
    <x v="11"/>
    <x v="2"/>
    <n v="2022"/>
    <x v="0"/>
    <x v="4"/>
    <n v="0"/>
  </r>
  <r>
    <x v="11"/>
    <x v="2"/>
    <n v="2023"/>
    <x v="1"/>
    <x v="4"/>
    <n v="2"/>
  </r>
  <r>
    <x v="11"/>
    <x v="2"/>
    <n v="2024"/>
    <x v="2"/>
    <x v="4"/>
    <n v="0"/>
  </r>
  <r>
    <x v="11"/>
    <x v="2"/>
    <n v="2022"/>
    <x v="0"/>
    <x v="6"/>
    <n v="0"/>
  </r>
  <r>
    <x v="11"/>
    <x v="2"/>
    <n v="2023"/>
    <x v="1"/>
    <x v="6"/>
    <n v="0"/>
  </r>
  <r>
    <x v="11"/>
    <x v="2"/>
    <n v="2024"/>
    <x v="2"/>
    <x v="6"/>
    <n v="3"/>
  </r>
  <r>
    <x v="11"/>
    <x v="2"/>
    <n v="2022"/>
    <x v="0"/>
    <x v="7"/>
    <n v="0"/>
  </r>
  <r>
    <x v="11"/>
    <x v="2"/>
    <n v="2023"/>
    <x v="1"/>
    <x v="7"/>
    <n v="0"/>
  </r>
  <r>
    <x v="11"/>
    <x v="2"/>
    <n v="2024"/>
    <x v="2"/>
    <x v="7"/>
    <n v="1"/>
  </r>
  <r>
    <x v="12"/>
    <x v="2"/>
    <n v="2022"/>
    <x v="0"/>
    <x v="0"/>
    <n v="0"/>
  </r>
  <r>
    <x v="12"/>
    <x v="2"/>
    <n v="2023"/>
    <x v="1"/>
    <x v="0"/>
    <n v="9"/>
  </r>
  <r>
    <x v="12"/>
    <x v="2"/>
    <n v="2024"/>
    <x v="2"/>
    <x v="0"/>
    <n v="0"/>
  </r>
  <r>
    <x v="13"/>
    <x v="2"/>
    <n v="2022"/>
    <x v="0"/>
    <x v="0"/>
    <n v="20"/>
  </r>
  <r>
    <x v="13"/>
    <x v="2"/>
    <n v="2023"/>
    <x v="1"/>
    <x v="0"/>
    <n v="0"/>
  </r>
  <r>
    <x v="13"/>
    <x v="2"/>
    <n v="2024"/>
    <x v="2"/>
    <x v="0"/>
    <n v="0"/>
  </r>
  <r>
    <x v="13"/>
    <x v="2"/>
    <n v="2022"/>
    <x v="0"/>
    <x v="4"/>
    <n v="1"/>
  </r>
  <r>
    <x v="13"/>
    <x v="2"/>
    <n v="2023"/>
    <x v="1"/>
    <x v="4"/>
    <n v="0"/>
  </r>
  <r>
    <x v="13"/>
    <x v="2"/>
    <n v="2024"/>
    <x v="2"/>
    <x v="4"/>
    <n v="0"/>
  </r>
  <r>
    <x v="14"/>
    <x v="2"/>
    <n v="2022"/>
    <x v="0"/>
    <x v="0"/>
    <n v="0"/>
  </r>
  <r>
    <x v="14"/>
    <x v="2"/>
    <n v="2023"/>
    <x v="1"/>
    <x v="0"/>
    <n v="259"/>
  </r>
  <r>
    <x v="14"/>
    <x v="2"/>
    <n v="2024"/>
    <x v="2"/>
    <x v="0"/>
    <n v="0"/>
  </r>
  <r>
    <x v="14"/>
    <x v="2"/>
    <n v="2022"/>
    <x v="0"/>
    <x v="1"/>
    <n v="0"/>
  </r>
  <r>
    <x v="14"/>
    <x v="2"/>
    <n v="2023"/>
    <x v="1"/>
    <x v="1"/>
    <n v="0"/>
  </r>
  <r>
    <x v="14"/>
    <x v="2"/>
    <n v="2024"/>
    <x v="2"/>
    <x v="1"/>
    <n v="3"/>
  </r>
  <r>
    <x v="14"/>
    <x v="2"/>
    <n v="2022"/>
    <x v="0"/>
    <x v="18"/>
    <n v="0"/>
  </r>
  <r>
    <x v="14"/>
    <x v="2"/>
    <n v="2023"/>
    <x v="1"/>
    <x v="18"/>
    <n v="20"/>
  </r>
  <r>
    <x v="14"/>
    <x v="2"/>
    <n v="2024"/>
    <x v="2"/>
    <x v="18"/>
    <n v="0"/>
  </r>
  <r>
    <x v="14"/>
    <x v="2"/>
    <n v="2022"/>
    <x v="0"/>
    <x v="3"/>
    <n v="0"/>
  </r>
  <r>
    <x v="14"/>
    <x v="2"/>
    <n v="2023"/>
    <x v="1"/>
    <x v="3"/>
    <n v="0"/>
  </r>
  <r>
    <x v="14"/>
    <x v="2"/>
    <n v="2024"/>
    <x v="2"/>
    <x v="3"/>
    <n v="1"/>
  </r>
  <r>
    <x v="15"/>
    <x v="2"/>
    <n v="2022"/>
    <x v="0"/>
    <x v="0"/>
    <n v="18"/>
  </r>
  <r>
    <x v="15"/>
    <x v="2"/>
    <n v="2023"/>
    <x v="1"/>
    <x v="0"/>
    <n v="13"/>
  </r>
  <r>
    <x v="15"/>
    <x v="2"/>
    <n v="2024"/>
    <x v="2"/>
    <x v="0"/>
    <n v="0"/>
  </r>
  <r>
    <x v="15"/>
    <x v="2"/>
    <n v="2022"/>
    <x v="0"/>
    <x v="1"/>
    <n v="4"/>
  </r>
  <r>
    <x v="15"/>
    <x v="2"/>
    <n v="2023"/>
    <x v="1"/>
    <x v="1"/>
    <n v="4"/>
  </r>
  <r>
    <x v="15"/>
    <x v="2"/>
    <n v="2024"/>
    <x v="2"/>
    <x v="1"/>
    <n v="4"/>
  </r>
  <r>
    <x v="15"/>
    <x v="2"/>
    <n v="2022"/>
    <x v="0"/>
    <x v="3"/>
    <n v="0"/>
  </r>
  <r>
    <x v="15"/>
    <x v="2"/>
    <n v="2023"/>
    <x v="1"/>
    <x v="3"/>
    <n v="1"/>
  </r>
  <r>
    <x v="15"/>
    <x v="2"/>
    <n v="2024"/>
    <x v="2"/>
    <x v="3"/>
    <n v="0"/>
  </r>
  <r>
    <x v="16"/>
    <x v="2"/>
    <n v="2022"/>
    <x v="0"/>
    <x v="14"/>
    <n v="0"/>
  </r>
  <r>
    <x v="16"/>
    <x v="2"/>
    <n v="2023"/>
    <x v="1"/>
    <x v="14"/>
    <n v="0"/>
  </r>
  <r>
    <x v="16"/>
    <x v="2"/>
    <n v="2024"/>
    <x v="2"/>
    <x v="14"/>
    <n v="1"/>
  </r>
  <r>
    <x v="16"/>
    <x v="2"/>
    <n v="2022"/>
    <x v="0"/>
    <x v="10"/>
    <n v="1"/>
  </r>
  <r>
    <x v="16"/>
    <x v="2"/>
    <n v="2023"/>
    <x v="1"/>
    <x v="10"/>
    <n v="0"/>
  </r>
  <r>
    <x v="16"/>
    <x v="2"/>
    <n v="2024"/>
    <x v="2"/>
    <x v="10"/>
    <n v="0"/>
  </r>
  <r>
    <x v="16"/>
    <x v="2"/>
    <n v="2022"/>
    <x v="0"/>
    <x v="19"/>
    <n v="0"/>
  </r>
  <r>
    <x v="16"/>
    <x v="2"/>
    <n v="2023"/>
    <x v="1"/>
    <x v="19"/>
    <n v="53"/>
  </r>
  <r>
    <x v="16"/>
    <x v="2"/>
    <n v="2024"/>
    <x v="2"/>
    <x v="19"/>
    <n v="0"/>
  </r>
  <r>
    <x v="17"/>
    <x v="2"/>
    <n v="2022"/>
    <x v="0"/>
    <x v="0"/>
    <n v="10"/>
  </r>
  <r>
    <x v="17"/>
    <x v="2"/>
    <n v="2023"/>
    <x v="1"/>
    <x v="0"/>
    <n v="15"/>
  </r>
  <r>
    <x v="17"/>
    <x v="2"/>
    <n v="2024"/>
    <x v="2"/>
    <x v="0"/>
    <n v="20"/>
  </r>
  <r>
    <x v="17"/>
    <x v="2"/>
    <n v="2022"/>
    <x v="0"/>
    <x v="1"/>
    <n v="0"/>
  </r>
  <r>
    <x v="17"/>
    <x v="2"/>
    <n v="2023"/>
    <x v="1"/>
    <x v="1"/>
    <n v="2"/>
  </r>
  <r>
    <x v="17"/>
    <x v="2"/>
    <n v="2024"/>
    <x v="2"/>
    <x v="1"/>
    <n v="4"/>
  </r>
  <r>
    <x v="17"/>
    <x v="2"/>
    <n v="2022"/>
    <x v="0"/>
    <x v="5"/>
    <n v="0"/>
  </r>
  <r>
    <x v="17"/>
    <x v="2"/>
    <n v="2023"/>
    <x v="1"/>
    <x v="5"/>
    <n v="0"/>
  </r>
  <r>
    <x v="17"/>
    <x v="2"/>
    <n v="2024"/>
    <x v="2"/>
    <x v="5"/>
    <n v="2"/>
  </r>
  <r>
    <x v="17"/>
    <x v="2"/>
    <n v="2022"/>
    <x v="0"/>
    <x v="3"/>
    <n v="0"/>
  </r>
  <r>
    <x v="17"/>
    <x v="2"/>
    <n v="2023"/>
    <x v="1"/>
    <x v="3"/>
    <n v="0"/>
  </r>
  <r>
    <x v="17"/>
    <x v="2"/>
    <n v="2024"/>
    <x v="2"/>
    <x v="3"/>
    <n v="2"/>
  </r>
  <r>
    <x v="17"/>
    <x v="2"/>
    <n v="2022"/>
    <x v="0"/>
    <x v="8"/>
    <n v="10"/>
  </r>
  <r>
    <x v="17"/>
    <x v="2"/>
    <n v="2023"/>
    <x v="1"/>
    <x v="8"/>
    <n v="5"/>
  </r>
  <r>
    <x v="17"/>
    <x v="2"/>
    <n v="2024"/>
    <x v="2"/>
    <x v="8"/>
    <n v="5"/>
  </r>
  <r>
    <x v="18"/>
    <x v="2"/>
    <n v="2022"/>
    <x v="0"/>
    <x v="3"/>
    <n v="0"/>
  </r>
  <r>
    <x v="18"/>
    <x v="2"/>
    <n v="2023"/>
    <x v="1"/>
    <x v="3"/>
    <n v="19"/>
  </r>
  <r>
    <x v="18"/>
    <x v="2"/>
    <n v="2024"/>
    <x v="2"/>
    <x v="3"/>
    <n v="0"/>
  </r>
  <r>
    <x v="19"/>
    <x v="2"/>
    <n v="2022"/>
    <x v="0"/>
    <x v="0"/>
    <n v="0"/>
  </r>
  <r>
    <x v="19"/>
    <x v="2"/>
    <n v="2023"/>
    <x v="1"/>
    <x v="0"/>
    <n v="0"/>
  </r>
  <r>
    <x v="19"/>
    <x v="2"/>
    <n v="2024"/>
    <x v="2"/>
    <x v="0"/>
    <n v="7"/>
  </r>
  <r>
    <x v="19"/>
    <x v="2"/>
    <n v="2022"/>
    <x v="0"/>
    <x v="5"/>
    <n v="0"/>
  </r>
  <r>
    <x v="19"/>
    <x v="2"/>
    <n v="2023"/>
    <x v="1"/>
    <x v="5"/>
    <n v="0"/>
  </r>
  <r>
    <x v="19"/>
    <x v="2"/>
    <n v="2024"/>
    <x v="2"/>
    <x v="5"/>
    <n v="6"/>
  </r>
  <r>
    <x v="19"/>
    <x v="2"/>
    <n v="2022"/>
    <x v="0"/>
    <x v="8"/>
    <n v="0"/>
  </r>
  <r>
    <x v="19"/>
    <x v="2"/>
    <n v="2023"/>
    <x v="1"/>
    <x v="8"/>
    <n v="0"/>
  </r>
  <r>
    <x v="19"/>
    <x v="2"/>
    <n v="2024"/>
    <x v="2"/>
    <x v="8"/>
    <n v="0"/>
  </r>
  <r>
    <x v="20"/>
    <x v="2"/>
    <n v="2022"/>
    <x v="0"/>
    <x v="1"/>
    <n v="1"/>
  </r>
  <r>
    <x v="20"/>
    <x v="2"/>
    <n v="2023"/>
    <x v="1"/>
    <x v="1"/>
    <n v="1"/>
  </r>
  <r>
    <x v="20"/>
    <x v="2"/>
    <n v="2024"/>
    <x v="2"/>
    <x v="1"/>
    <n v="0"/>
  </r>
  <r>
    <x v="20"/>
    <x v="2"/>
    <n v="2022"/>
    <x v="0"/>
    <x v="9"/>
    <n v="0"/>
  </r>
  <r>
    <x v="20"/>
    <x v="2"/>
    <n v="2023"/>
    <x v="1"/>
    <x v="9"/>
    <n v="1"/>
  </r>
  <r>
    <x v="20"/>
    <x v="2"/>
    <n v="2024"/>
    <x v="2"/>
    <x v="9"/>
    <n v="0"/>
  </r>
  <r>
    <x v="20"/>
    <x v="2"/>
    <n v="2022"/>
    <x v="0"/>
    <x v="5"/>
    <n v="0"/>
  </r>
  <r>
    <x v="20"/>
    <x v="2"/>
    <n v="2023"/>
    <x v="1"/>
    <x v="5"/>
    <n v="1"/>
  </r>
  <r>
    <x v="20"/>
    <x v="2"/>
    <n v="2024"/>
    <x v="2"/>
    <x v="5"/>
    <n v="1"/>
  </r>
  <r>
    <x v="20"/>
    <x v="2"/>
    <n v="2022"/>
    <x v="0"/>
    <x v="20"/>
    <n v="0"/>
  </r>
  <r>
    <x v="20"/>
    <x v="2"/>
    <n v="2023"/>
    <x v="1"/>
    <x v="20"/>
    <n v="0"/>
  </r>
  <r>
    <x v="20"/>
    <x v="2"/>
    <n v="2024"/>
    <x v="2"/>
    <x v="20"/>
    <n v="1"/>
  </r>
  <r>
    <x v="21"/>
    <x v="2"/>
    <n v="2022"/>
    <x v="0"/>
    <x v="0"/>
    <n v="20"/>
  </r>
  <r>
    <x v="21"/>
    <x v="2"/>
    <n v="2023"/>
    <x v="1"/>
    <x v="0"/>
    <n v="0"/>
  </r>
  <r>
    <x v="21"/>
    <x v="2"/>
    <n v="2024"/>
    <x v="2"/>
    <x v="0"/>
    <n v="0"/>
  </r>
  <r>
    <x v="21"/>
    <x v="2"/>
    <n v="2022"/>
    <x v="0"/>
    <x v="4"/>
    <n v="1"/>
  </r>
  <r>
    <x v="21"/>
    <x v="2"/>
    <n v="2023"/>
    <x v="1"/>
    <x v="4"/>
    <n v="0"/>
  </r>
  <r>
    <x v="21"/>
    <x v="2"/>
    <n v="2024"/>
    <x v="2"/>
    <x v="4"/>
    <n v="0"/>
  </r>
  <r>
    <x v="22"/>
    <x v="2"/>
    <n v="2022"/>
    <x v="0"/>
    <x v="21"/>
    <n v="10"/>
  </r>
  <r>
    <x v="22"/>
    <x v="2"/>
    <n v="2023"/>
    <x v="1"/>
    <x v="21"/>
    <n v="0"/>
  </r>
  <r>
    <x v="22"/>
    <x v="2"/>
    <n v="2024"/>
    <x v="2"/>
    <x v="21"/>
    <n v="0"/>
  </r>
  <r>
    <x v="23"/>
    <x v="2"/>
    <n v="2022"/>
    <x v="0"/>
    <x v="17"/>
    <n v="0"/>
  </r>
  <r>
    <x v="23"/>
    <x v="2"/>
    <n v="2023"/>
    <x v="1"/>
    <x v="17"/>
    <n v="0"/>
  </r>
  <r>
    <x v="23"/>
    <x v="2"/>
    <n v="2024"/>
    <x v="2"/>
    <x v="17"/>
    <n v="464"/>
  </r>
  <r>
    <x v="24"/>
    <x v="2"/>
    <n v="2022"/>
    <x v="0"/>
    <x v="0"/>
    <n v="4"/>
  </r>
  <r>
    <x v="24"/>
    <x v="2"/>
    <n v="2023"/>
    <x v="1"/>
    <x v="0"/>
    <n v="6"/>
  </r>
  <r>
    <x v="24"/>
    <x v="2"/>
    <n v="2024"/>
    <x v="2"/>
    <x v="0"/>
    <n v="0"/>
  </r>
  <r>
    <x v="24"/>
    <x v="2"/>
    <n v="2022"/>
    <x v="0"/>
    <x v="3"/>
    <n v="6"/>
  </r>
  <r>
    <x v="24"/>
    <x v="2"/>
    <n v="2023"/>
    <x v="1"/>
    <x v="3"/>
    <n v="6"/>
  </r>
  <r>
    <x v="24"/>
    <x v="2"/>
    <n v="2024"/>
    <x v="2"/>
    <x v="3"/>
    <n v="0"/>
  </r>
  <r>
    <x v="24"/>
    <x v="2"/>
    <n v="2022"/>
    <x v="0"/>
    <x v="22"/>
    <n v="0"/>
  </r>
  <r>
    <x v="24"/>
    <x v="2"/>
    <n v="2023"/>
    <x v="1"/>
    <x v="22"/>
    <n v="1"/>
  </r>
  <r>
    <x v="24"/>
    <x v="2"/>
    <n v="2024"/>
    <x v="2"/>
    <x v="22"/>
    <n v="0"/>
  </r>
  <r>
    <x v="24"/>
    <x v="2"/>
    <n v="2022"/>
    <x v="0"/>
    <x v="4"/>
    <n v="0"/>
  </r>
  <r>
    <x v="24"/>
    <x v="2"/>
    <n v="2023"/>
    <x v="1"/>
    <x v="4"/>
    <n v="1"/>
  </r>
  <r>
    <x v="24"/>
    <x v="2"/>
    <n v="2024"/>
    <x v="2"/>
    <x v="4"/>
    <n v="0"/>
  </r>
  <r>
    <x v="25"/>
    <x v="2"/>
    <n v="2022"/>
    <x v="0"/>
    <x v="0"/>
    <n v="21"/>
  </r>
  <r>
    <x v="25"/>
    <x v="2"/>
    <n v="2023"/>
    <x v="1"/>
    <x v="0"/>
    <n v="13"/>
  </r>
  <r>
    <x v="25"/>
    <x v="2"/>
    <n v="2024"/>
    <x v="2"/>
    <x v="0"/>
    <n v="0"/>
  </r>
  <r>
    <x v="25"/>
    <x v="2"/>
    <n v="2022"/>
    <x v="0"/>
    <x v="23"/>
    <n v="0"/>
  </r>
  <r>
    <x v="25"/>
    <x v="2"/>
    <n v="2023"/>
    <x v="1"/>
    <x v="23"/>
    <n v="1"/>
  </r>
  <r>
    <x v="25"/>
    <x v="2"/>
    <n v="2024"/>
    <x v="2"/>
    <x v="23"/>
    <n v="0"/>
  </r>
  <r>
    <x v="25"/>
    <x v="2"/>
    <n v="2022"/>
    <x v="0"/>
    <x v="9"/>
    <n v="1"/>
  </r>
  <r>
    <x v="25"/>
    <x v="2"/>
    <n v="2023"/>
    <x v="1"/>
    <x v="9"/>
    <n v="0"/>
  </r>
  <r>
    <x v="25"/>
    <x v="2"/>
    <n v="2024"/>
    <x v="2"/>
    <x v="9"/>
    <n v="0"/>
  </r>
  <r>
    <x v="25"/>
    <x v="2"/>
    <n v="2022"/>
    <x v="0"/>
    <x v="24"/>
    <n v="0"/>
  </r>
  <r>
    <x v="25"/>
    <x v="2"/>
    <n v="2023"/>
    <x v="1"/>
    <x v="24"/>
    <n v="6"/>
  </r>
  <r>
    <x v="25"/>
    <x v="2"/>
    <n v="2024"/>
    <x v="2"/>
    <x v="24"/>
    <n v="0"/>
  </r>
  <r>
    <x v="26"/>
    <x v="2"/>
    <n v="2022"/>
    <x v="0"/>
    <x v="0"/>
    <n v="11"/>
  </r>
  <r>
    <x v="26"/>
    <x v="2"/>
    <n v="2023"/>
    <x v="1"/>
    <x v="0"/>
    <n v="5"/>
  </r>
  <r>
    <x v="26"/>
    <x v="2"/>
    <n v="2024"/>
    <x v="2"/>
    <x v="0"/>
    <n v="0"/>
  </r>
  <r>
    <x v="26"/>
    <x v="2"/>
    <n v="2022"/>
    <x v="0"/>
    <x v="25"/>
    <n v="0"/>
  </r>
  <r>
    <x v="26"/>
    <x v="2"/>
    <n v="2023"/>
    <x v="1"/>
    <x v="25"/>
    <n v="5"/>
  </r>
  <r>
    <x v="26"/>
    <x v="2"/>
    <n v="2024"/>
    <x v="2"/>
    <x v="25"/>
    <n v="0"/>
  </r>
  <r>
    <x v="26"/>
    <x v="2"/>
    <n v="2022"/>
    <x v="0"/>
    <x v="3"/>
    <n v="1"/>
  </r>
  <r>
    <x v="26"/>
    <x v="2"/>
    <n v="2023"/>
    <x v="1"/>
    <x v="3"/>
    <n v="1"/>
  </r>
  <r>
    <x v="26"/>
    <x v="2"/>
    <n v="2024"/>
    <x v="2"/>
    <x v="3"/>
    <n v="0"/>
  </r>
  <r>
    <x v="26"/>
    <x v="2"/>
    <n v="2022"/>
    <x v="0"/>
    <x v="13"/>
    <n v="1"/>
  </r>
  <r>
    <x v="26"/>
    <x v="2"/>
    <n v="2023"/>
    <x v="1"/>
    <x v="13"/>
    <n v="0"/>
  </r>
  <r>
    <x v="26"/>
    <x v="2"/>
    <n v="2024"/>
    <x v="2"/>
    <x v="13"/>
    <n v="0"/>
  </r>
  <r>
    <x v="27"/>
    <x v="2"/>
    <n v="2022"/>
    <x v="0"/>
    <x v="1"/>
    <n v="0"/>
  </r>
  <r>
    <x v="27"/>
    <x v="2"/>
    <n v="2023"/>
    <x v="1"/>
    <x v="1"/>
    <n v="2"/>
  </r>
  <r>
    <x v="27"/>
    <x v="2"/>
    <n v="2024"/>
    <x v="2"/>
    <x v="1"/>
    <n v="0"/>
  </r>
  <r>
    <x v="27"/>
    <x v="2"/>
    <n v="2022"/>
    <x v="0"/>
    <x v="26"/>
    <n v="0"/>
  </r>
  <r>
    <x v="27"/>
    <x v="2"/>
    <n v="2023"/>
    <x v="1"/>
    <x v="26"/>
    <n v="10"/>
  </r>
  <r>
    <x v="27"/>
    <x v="2"/>
    <n v="2024"/>
    <x v="2"/>
    <x v="26"/>
    <n v="0"/>
  </r>
  <r>
    <x v="27"/>
    <x v="2"/>
    <n v="2022"/>
    <x v="0"/>
    <x v="12"/>
    <n v="6"/>
  </r>
  <r>
    <x v="27"/>
    <x v="2"/>
    <n v="2023"/>
    <x v="1"/>
    <x v="12"/>
    <n v="9"/>
  </r>
  <r>
    <x v="27"/>
    <x v="2"/>
    <n v="2024"/>
    <x v="2"/>
    <x v="12"/>
    <n v="0"/>
  </r>
  <r>
    <x v="27"/>
    <x v="2"/>
    <n v="2022"/>
    <x v="0"/>
    <x v="13"/>
    <n v="200"/>
  </r>
  <r>
    <x v="27"/>
    <x v="2"/>
    <n v="2023"/>
    <x v="1"/>
    <x v="13"/>
    <n v="3000"/>
  </r>
  <r>
    <x v="27"/>
    <x v="2"/>
    <n v="2024"/>
    <x v="2"/>
    <x v="13"/>
    <n v="0"/>
  </r>
  <r>
    <x v="28"/>
    <x v="2"/>
    <n v="2022"/>
    <x v="0"/>
    <x v="0"/>
    <n v="0"/>
  </r>
  <r>
    <x v="28"/>
    <x v="2"/>
    <n v="2023"/>
    <x v="1"/>
    <x v="0"/>
    <n v="55"/>
  </r>
  <r>
    <x v="28"/>
    <x v="2"/>
    <n v="2024"/>
    <x v="2"/>
    <x v="0"/>
    <n v="54"/>
  </r>
  <r>
    <x v="29"/>
    <x v="3"/>
    <n v="2023"/>
    <x v="0"/>
    <x v="0"/>
    <n v="20"/>
  </r>
  <r>
    <x v="29"/>
    <x v="3"/>
    <n v="2024"/>
    <x v="1"/>
    <x v="0"/>
    <n v="0"/>
  </r>
  <r>
    <x v="29"/>
    <x v="3"/>
    <n v="2023"/>
    <x v="0"/>
    <x v="4"/>
    <n v="1"/>
  </r>
  <r>
    <x v="29"/>
    <x v="3"/>
    <n v="2024"/>
    <x v="1"/>
    <x v="4"/>
    <n v="0"/>
  </r>
  <r>
    <x v="30"/>
    <x v="3"/>
    <n v="2023"/>
    <x v="0"/>
    <x v="5"/>
    <n v="0"/>
  </r>
  <r>
    <x v="30"/>
    <x v="3"/>
    <n v="2024"/>
    <x v="1"/>
    <x v="5"/>
    <n v="0"/>
  </r>
  <r>
    <x v="30"/>
    <x v="3"/>
    <n v="2023"/>
    <x v="0"/>
    <x v="14"/>
    <n v="0"/>
  </r>
  <r>
    <x v="30"/>
    <x v="3"/>
    <n v="2024"/>
    <x v="1"/>
    <x v="14"/>
    <n v="0"/>
  </r>
  <r>
    <x v="30"/>
    <x v="3"/>
    <n v="2023"/>
    <x v="0"/>
    <x v="10"/>
    <n v="0"/>
  </r>
  <r>
    <x v="30"/>
    <x v="3"/>
    <n v="2024"/>
    <x v="1"/>
    <x v="10"/>
    <n v="0"/>
  </r>
  <r>
    <x v="30"/>
    <x v="3"/>
    <n v="2023"/>
    <x v="0"/>
    <x v="27"/>
    <n v="0"/>
  </r>
  <r>
    <x v="30"/>
    <x v="3"/>
    <n v="2024"/>
    <x v="1"/>
    <x v="27"/>
    <n v="0"/>
  </r>
  <r>
    <x v="31"/>
    <x v="3"/>
    <n v="2023"/>
    <x v="0"/>
    <x v="0"/>
    <n v="40"/>
  </r>
  <r>
    <x v="31"/>
    <x v="3"/>
    <n v="2024"/>
    <x v="1"/>
    <x v="0"/>
    <n v="20"/>
  </r>
  <r>
    <x v="31"/>
    <x v="3"/>
    <n v="2023"/>
    <x v="0"/>
    <x v="1"/>
    <n v="7"/>
  </r>
  <r>
    <x v="31"/>
    <x v="3"/>
    <n v="2024"/>
    <x v="1"/>
    <x v="1"/>
    <n v="0"/>
  </r>
  <r>
    <x v="31"/>
    <x v="3"/>
    <n v="2023"/>
    <x v="0"/>
    <x v="18"/>
    <n v="3"/>
  </r>
  <r>
    <x v="31"/>
    <x v="3"/>
    <n v="2024"/>
    <x v="1"/>
    <x v="18"/>
    <n v="0"/>
  </r>
  <r>
    <x v="31"/>
    <x v="3"/>
    <n v="2023"/>
    <x v="0"/>
    <x v="23"/>
    <n v="4"/>
  </r>
  <r>
    <x v="31"/>
    <x v="3"/>
    <n v="2024"/>
    <x v="1"/>
    <x v="23"/>
    <n v="0"/>
  </r>
  <r>
    <x v="31"/>
    <x v="3"/>
    <n v="2023"/>
    <x v="0"/>
    <x v="9"/>
    <n v="6"/>
  </r>
  <r>
    <x v="31"/>
    <x v="3"/>
    <n v="2024"/>
    <x v="1"/>
    <x v="9"/>
    <n v="0"/>
  </r>
  <r>
    <x v="31"/>
    <x v="3"/>
    <n v="2023"/>
    <x v="0"/>
    <x v="17"/>
    <n v="12"/>
  </r>
  <r>
    <x v="31"/>
    <x v="3"/>
    <n v="2024"/>
    <x v="1"/>
    <x v="17"/>
    <n v="8"/>
  </r>
  <r>
    <x v="31"/>
    <x v="3"/>
    <n v="2023"/>
    <x v="0"/>
    <x v="21"/>
    <n v="15"/>
  </r>
  <r>
    <x v="31"/>
    <x v="3"/>
    <n v="2024"/>
    <x v="1"/>
    <x v="21"/>
    <n v="0"/>
  </r>
  <r>
    <x v="31"/>
    <x v="3"/>
    <n v="2023"/>
    <x v="0"/>
    <x v="12"/>
    <n v="2"/>
  </r>
  <r>
    <x v="31"/>
    <x v="3"/>
    <n v="2024"/>
    <x v="1"/>
    <x v="12"/>
    <n v="0"/>
  </r>
  <r>
    <x v="31"/>
    <x v="3"/>
    <n v="2023"/>
    <x v="0"/>
    <x v="7"/>
    <n v="4"/>
  </r>
  <r>
    <x v="31"/>
    <x v="3"/>
    <n v="2024"/>
    <x v="1"/>
    <x v="7"/>
    <n v="0"/>
  </r>
  <r>
    <x v="32"/>
    <x v="3"/>
    <n v="2023"/>
    <x v="0"/>
    <x v="0"/>
    <n v="2"/>
  </r>
  <r>
    <x v="32"/>
    <x v="3"/>
    <n v="2024"/>
    <x v="1"/>
    <x v="0"/>
    <n v="5"/>
  </r>
  <r>
    <x v="32"/>
    <x v="3"/>
    <n v="2023"/>
    <x v="0"/>
    <x v="1"/>
    <n v="1"/>
  </r>
  <r>
    <x v="32"/>
    <x v="3"/>
    <n v="2024"/>
    <x v="1"/>
    <x v="1"/>
    <n v="4"/>
  </r>
  <r>
    <x v="32"/>
    <x v="3"/>
    <n v="2023"/>
    <x v="0"/>
    <x v="22"/>
    <n v="1"/>
  </r>
  <r>
    <x v="32"/>
    <x v="3"/>
    <n v="2024"/>
    <x v="1"/>
    <x v="22"/>
    <n v="4"/>
  </r>
  <r>
    <x v="32"/>
    <x v="3"/>
    <n v="2023"/>
    <x v="0"/>
    <x v="12"/>
    <n v="23"/>
  </r>
  <r>
    <x v="32"/>
    <x v="3"/>
    <n v="2024"/>
    <x v="1"/>
    <x v="12"/>
    <n v="14"/>
  </r>
  <r>
    <x v="33"/>
    <x v="3"/>
    <n v="2023"/>
    <x v="0"/>
    <x v="0"/>
    <n v="5"/>
  </r>
  <r>
    <x v="33"/>
    <x v="3"/>
    <n v="2024"/>
    <x v="1"/>
    <x v="0"/>
    <n v="0"/>
  </r>
  <r>
    <x v="33"/>
    <x v="3"/>
    <n v="2023"/>
    <x v="0"/>
    <x v="1"/>
    <n v="1"/>
  </r>
  <r>
    <x v="33"/>
    <x v="3"/>
    <n v="2024"/>
    <x v="1"/>
    <x v="1"/>
    <n v="0"/>
  </r>
  <r>
    <x v="33"/>
    <x v="3"/>
    <n v="2023"/>
    <x v="0"/>
    <x v="18"/>
    <n v="5"/>
  </r>
  <r>
    <x v="33"/>
    <x v="3"/>
    <n v="2024"/>
    <x v="1"/>
    <x v="18"/>
    <n v="0"/>
  </r>
  <r>
    <x v="33"/>
    <x v="3"/>
    <n v="2023"/>
    <x v="0"/>
    <x v="9"/>
    <n v="0"/>
  </r>
  <r>
    <x v="33"/>
    <x v="3"/>
    <n v="2024"/>
    <x v="1"/>
    <x v="9"/>
    <n v="0"/>
  </r>
  <r>
    <x v="33"/>
    <x v="3"/>
    <n v="2023"/>
    <x v="0"/>
    <x v="5"/>
    <n v="0"/>
  </r>
  <r>
    <x v="33"/>
    <x v="3"/>
    <n v="2024"/>
    <x v="1"/>
    <x v="5"/>
    <n v="0"/>
  </r>
  <r>
    <x v="33"/>
    <x v="3"/>
    <n v="2023"/>
    <x v="0"/>
    <x v="28"/>
    <n v="1"/>
  </r>
  <r>
    <x v="33"/>
    <x v="3"/>
    <n v="2024"/>
    <x v="1"/>
    <x v="28"/>
    <n v="0"/>
  </r>
  <r>
    <x v="33"/>
    <x v="3"/>
    <n v="2023"/>
    <x v="0"/>
    <x v="17"/>
    <n v="96000"/>
  </r>
  <r>
    <x v="33"/>
    <x v="3"/>
    <n v="2024"/>
    <x v="1"/>
    <x v="17"/>
    <n v="180000"/>
  </r>
  <r>
    <x v="33"/>
    <x v="3"/>
    <n v="2023"/>
    <x v="0"/>
    <x v="12"/>
    <n v="1"/>
  </r>
  <r>
    <x v="33"/>
    <x v="3"/>
    <n v="2024"/>
    <x v="1"/>
    <x v="12"/>
    <n v="1"/>
  </r>
  <r>
    <x v="34"/>
    <x v="3"/>
    <n v="2023"/>
    <x v="0"/>
    <x v="18"/>
    <n v="0"/>
  </r>
  <r>
    <x v="34"/>
    <x v="3"/>
    <n v="2024"/>
    <x v="1"/>
    <x v="18"/>
    <n v="0"/>
  </r>
  <r>
    <x v="34"/>
    <x v="3"/>
    <n v="2023"/>
    <x v="0"/>
    <x v="20"/>
    <n v="0"/>
  </r>
  <r>
    <x v="34"/>
    <x v="3"/>
    <n v="2024"/>
    <x v="1"/>
    <x v="20"/>
    <n v="0"/>
  </r>
  <r>
    <x v="34"/>
    <x v="3"/>
    <n v="2023"/>
    <x v="0"/>
    <x v="17"/>
    <n v="1000"/>
  </r>
  <r>
    <x v="34"/>
    <x v="3"/>
    <n v="2024"/>
    <x v="1"/>
    <x v="17"/>
    <n v="863"/>
  </r>
  <r>
    <x v="34"/>
    <x v="3"/>
    <n v="2023"/>
    <x v="0"/>
    <x v="29"/>
    <n v="0"/>
  </r>
  <r>
    <x v="34"/>
    <x v="3"/>
    <n v="2024"/>
    <x v="1"/>
    <x v="29"/>
    <n v="1"/>
  </r>
  <r>
    <x v="34"/>
    <x v="3"/>
    <n v="2023"/>
    <x v="0"/>
    <x v="30"/>
    <n v="0"/>
  </r>
  <r>
    <x v="34"/>
    <x v="3"/>
    <n v="2024"/>
    <x v="1"/>
    <x v="30"/>
    <n v="0"/>
  </r>
  <r>
    <x v="35"/>
    <x v="3"/>
    <n v="2023"/>
    <x v="0"/>
    <x v="18"/>
    <n v="97"/>
  </r>
  <r>
    <x v="35"/>
    <x v="3"/>
    <n v="2024"/>
    <x v="1"/>
    <x v="18"/>
    <n v="0"/>
  </r>
  <r>
    <x v="36"/>
    <x v="3"/>
    <n v="2023"/>
    <x v="0"/>
    <x v="0"/>
    <n v="5"/>
  </r>
  <r>
    <x v="36"/>
    <x v="3"/>
    <n v="2024"/>
    <x v="1"/>
    <x v="0"/>
    <n v="13"/>
  </r>
  <r>
    <x v="36"/>
    <x v="3"/>
    <n v="2023"/>
    <x v="0"/>
    <x v="1"/>
    <n v="1"/>
  </r>
  <r>
    <x v="36"/>
    <x v="3"/>
    <n v="2024"/>
    <x v="1"/>
    <x v="1"/>
    <n v="0"/>
  </r>
  <r>
    <x v="36"/>
    <x v="3"/>
    <n v="2023"/>
    <x v="0"/>
    <x v="5"/>
    <n v="0"/>
  </r>
  <r>
    <x v="36"/>
    <x v="3"/>
    <n v="2024"/>
    <x v="1"/>
    <x v="5"/>
    <n v="0"/>
  </r>
  <r>
    <x v="36"/>
    <x v="3"/>
    <n v="2023"/>
    <x v="0"/>
    <x v="3"/>
    <n v="10"/>
  </r>
  <r>
    <x v="36"/>
    <x v="3"/>
    <n v="2024"/>
    <x v="1"/>
    <x v="3"/>
    <n v="4"/>
  </r>
  <r>
    <x v="37"/>
    <x v="3"/>
    <n v="2023"/>
    <x v="0"/>
    <x v="11"/>
    <n v="0"/>
  </r>
  <r>
    <x v="37"/>
    <x v="3"/>
    <n v="2024"/>
    <x v="1"/>
    <x v="11"/>
    <n v="0"/>
  </r>
  <r>
    <x v="37"/>
    <x v="3"/>
    <n v="2023"/>
    <x v="0"/>
    <x v="31"/>
    <n v="0"/>
  </r>
  <r>
    <x v="37"/>
    <x v="3"/>
    <n v="2024"/>
    <x v="1"/>
    <x v="31"/>
    <n v="0"/>
  </r>
  <r>
    <x v="37"/>
    <x v="3"/>
    <n v="2023"/>
    <x v="0"/>
    <x v="13"/>
    <n v="0"/>
  </r>
  <r>
    <x v="37"/>
    <x v="3"/>
    <n v="2024"/>
    <x v="1"/>
    <x v="13"/>
    <n v="0"/>
  </r>
  <r>
    <x v="37"/>
    <x v="3"/>
    <n v="2023"/>
    <x v="0"/>
    <x v="4"/>
    <n v="0"/>
  </r>
  <r>
    <x v="37"/>
    <x v="3"/>
    <n v="2024"/>
    <x v="1"/>
    <x v="4"/>
    <n v="0"/>
  </r>
  <r>
    <x v="38"/>
    <x v="3"/>
    <n v="2023"/>
    <x v="0"/>
    <x v="0"/>
    <n v="97"/>
  </r>
  <r>
    <x v="38"/>
    <x v="3"/>
    <n v="2024"/>
    <x v="1"/>
    <x v="0"/>
    <n v="0"/>
  </r>
  <r>
    <x v="38"/>
    <x v="3"/>
    <n v="2023"/>
    <x v="0"/>
    <x v="9"/>
    <n v="3"/>
  </r>
  <r>
    <x v="38"/>
    <x v="3"/>
    <n v="2024"/>
    <x v="1"/>
    <x v="9"/>
    <n v="4"/>
  </r>
  <r>
    <x v="38"/>
    <x v="3"/>
    <n v="2023"/>
    <x v="0"/>
    <x v="24"/>
    <n v="16"/>
  </r>
  <r>
    <x v="38"/>
    <x v="3"/>
    <n v="2024"/>
    <x v="1"/>
    <x v="24"/>
    <n v="21"/>
  </r>
  <r>
    <x v="38"/>
    <x v="3"/>
    <n v="2023"/>
    <x v="0"/>
    <x v="22"/>
    <n v="2"/>
  </r>
  <r>
    <x v="38"/>
    <x v="3"/>
    <n v="2024"/>
    <x v="1"/>
    <x v="22"/>
    <n v="1"/>
  </r>
  <r>
    <x v="38"/>
    <x v="3"/>
    <n v="2023"/>
    <x v="0"/>
    <x v="17"/>
    <n v="24727"/>
  </r>
  <r>
    <x v="38"/>
    <x v="3"/>
    <n v="2024"/>
    <x v="1"/>
    <x v="17"/>
    <n v="66000"/>
  </r>
  <r>
    <x v="38"/>
    <x v="3"/>
    <n v="2023"/>
    <x v="0"/>
    <x v="19"/>
    <n v="356"/>
  </r>
  <r>
    <x v="38"/>
    <x v="3"/>
    <n v="2024"/>
    <x v="1"/>
    <x v="19"/>
    <n v="56"/>
  </r>
  <r>
    <x v="38"/>
    <x v="3"/>
    <n v="2023"/>
    <x v="0"/>
    <x v="12"/>
    <n v="3"/>
  </r>
  <r>
    <x v="38"/>
    <x v="3"/>
    <n v="2024"/>
    <x v="1"/>
    <x v="12"/>
    <n v="5"/>
  </r>
  <r>
    <x v="39"/>
    <x v="3"/>
    <n v="2023"/>
    <x v="0"/>
    <x v="17"/>
    <n v="40404"/>
  </r>
  <r>
    <x v="39"/>
    <x v="3"/>
    <n v="2024"/>
    <x v="1"/>
    <x v="17"/>
    <n v="0"/>
  </r>
  <r>
    <x v="39"/>
    <x v="3"/>
    <n v="2023"/>
    <x v="0"/>
    <x v="12"/>
    <n v="6"/>
  </r>
  <r>
    <x v="39"/>
    <x v="3"/>
    <n v="2024"/>
    <x v="1"/>
    <x v="12"/>
    <n v="0"/>
  </r>
  <r>
    <x v="39"/>
    <x v="3"/>
    <n v="2023"/>
    <x v="0"/>
    <x v="32"/>
    <n v="1.08"/>
  </r>
  <r>
    <x v="39"/>
    <x v="3"/>
    <n v="2024"/>
    <x v="1"/>
    <x v="32"/>
    <n v="0"/>
  </r>
  <r>
    <x v="40"/>
    <x v="3"/>
    <n v="2023"/>
    <x v="0"/>
    <x v="0"/>
    <n v="3"/>
  </r>
  <r>
    <x v="40"/>
    <x v="3"/>
    <n v="2024"/>
    <x v="1"/>
    <x v="0"/>
    <n v="0"/>
  </r>
  <r>
    <x v="40"/>
    <x v="3"/>
    <n v="2023"/>
    <x v="0"/>
    <x v="5"/>
    <n v="0"/>
  </r>
  <r>
    <x v="40"/>
    <x v="3"/>
    <n v="2024"/>
    <x v="1"/>
    <x v="5"/>
    <n v="2"/>
  </r>
  <r>
    <x v="40"/>
    <x v="3"/>
    <n v="2023"/>
    <x v="0"/>
    <x v="1"/>
    <n v="9"/>
  </r>
  <r>
    <x v="40"/>
    <x v="3"/>
    <n v="2024"/>
    <x v="1"/>
    <x v="1"/>
    <n v="0"/>
  </r>
  <r>
    <x v="40"/>
    <x v="3"/>
    <n v="2023"/>
    <x v="0"/>
    <x v="18"/>
    <n v="3"/>
  </r>
  <r>
    <x v="40"/>
    <x v="3"/>
    <n v="2024"/>
    <x v="1"/>
    <x v="18"/>
    <n v="0"/>
  </r>
  <r>
    <x v="40"/>
    <x v="3"/>
    <n v="2023"/>
    <x v="0"/>
    <x v="23"/>
    <n v="2"/>
  </r>
  <r>
    <x v="40"/>
    <x v="3"/>
    <n v="2024"/>
    <x v="1"/>
    <x v="23"/>
    <n v="0"/>
  </r>
  <r>
    <x v="40"/>
    <x v="3"/>
    <n v="2023"/>
    <x v="0"/>
    <x v="5"/>
    <n v="1"/>
  </r>
  <r>
    <x v="40"/>
    <x v="3"/>
    <n v="2024"/>
    <x v="1"/>
    <x v="5"/>
    <n v="0"/>
  </r>
  <r>
    <x v="40"/>
    <x v="3"/>
    <n v="2023"/>
    <x v="0"/>
    <x v="14"/>
    <n v="1"/>
  </r>
  <r>
    <x v="40"/>
    <x v="3"/>
    <n v="2024"/>
    <x v="1"/>
    <x v="14"/>
    <n v="0"/>
  </r>
  <r>
    <x v="40"/>
    <x v="3"/>
    <n v="2023"/>
    <x v="0"/>
    <x v="22"/>
    <n v="4"/>
  </r>
  <r>
    <x v="40"/>
    <x v="3"/>
    <n v="2024"/>
    <x v="1"/>
    <x v="22"/>
    <n v="0"/>
  </r>
  <r>
    <x v="41"/>
    <x v="3"/>
    <n v="2023"/>
    <x v="0"/>
    <x v="0"/>
    <n v="0"/>
  </r>
  <r>
    <x v="41"/>
    <x v="3"/>
    <n v="2024"/>
    <x v="1"/>
    <x v="0"/>
    <n v="0"/>
  </r>
  <r>
    <x v="41"/>
    <x v="3"/>
    <n v="2023"/>
    <x v="0"/>
    <x v="33"/>
    <n v="0"/>
  </r>
  <r>
    <x v="41"/>
    <x v="3"/>
    <n v="2024"/>
    <x v="1"/>
    <x v="33"/>
    <n v="0"/>
  </r>
  <r>
    <x v="41"/>
    <x v="3"/>
    <n v="2023"/>
    <x v="0"/>
    <x v="1"/>
    <n v="0"/>
  </r>
  <r>
    <x v="41"/>
    <x v="3"/>
    <n v="2024"/>
    <x v="1"/>
    <x v="1"/>
    <n v="0"/>
  </r>
  <r>
    <x v="41"/>
    <x v="3"/>
    <n v="2023"/>
    <x v="0"/>
    <x v="34"/>
    <n v="0"/>
  </r>
  <r>
    <x v="41"/>
    <x v="3"/>
    <n v="2024"/>
    <x v="1"/>
    <x v="34"/>
    <n v="0"/>
  </r>
  <r>
    <x v="41"/>
    <x v="3"/>
    <n v="2023"/>
    <x v="0"/>
    <x v="5"/>
    <n v="0"/>
  </r>
  <r>
    <x v="41"/>
    <x v="3"/>
    <n v="2024"/>
    <x v="1"/>
    <x v="5"/>
    <n v="0"/>
  </r>
  <r>
    <x v="41"/>
    <x v="3"/>
    <n v="2023"/>
    <x v="0"/>
    <x v="14"/>
    <n v="0"/>
  </r>
  <r>
    <x v="41"/>
    <x v="3"/>
    <n v="2024"/>
    <x v="1"/>
    <x v="14"/>
    <n v="0"/>
  </r>
  <r>
    <x v="41"/>
    <x v="3"/>
    <n v="2023"/>
    <x v="0"/>
    <x v="26"/>
    <n v="0"/>
  </r>
  <r>
    <x v="41"/>
    <x v="3"/>
    <n v="2024"/>
    <x v="1"/>
    <x v="26"/>
    <n v="0"/>
  </r>
  <r>
    <x v="41"/>
    <x v="3"/>
    <n v="2023"/>
    <x v="0"/>
    <x v="3"/>
    <n v="0"/>
  </r>
  <r>
    <x v="41"/>
    <x v="3"/>
    <n v="2024"/>
    <x v="1"/>
    <x v="3"/>
    <n v="7"/>
  </r>
  <r>
    <x v="41"/>
    <x v="3"/>
    <n v="2023"/>
    <x v="0"/>
    <x v="10"/>
    <n v="0"/>
  </r>
  <r>
    <x v="41"/>
    <x v="3"/>
    <n v="2024"/>
    <x v="1"/>
    <x v="10"/>
    <n v="3"/>
  </r>
  <r>
    <x v="41"/>
    <x v="3"/>
    <n v="2023"/>
    <x v="0"/>
    <x v="20"/>
    <n v="0"/>
  </r>
  <r>
    <x v="41"/>
    <x v="3"/>
    <n v="2024"/>
    <x v="1"/>
    <x v="20"/>
    <n v="0"/>
  </r>
  <r>
    <x v="41"/>
    <x v="3"/>
    <n v="2023"/>
    <x v="0"/>
    <x v="28"/>
    <n v="0"/>
  </r>
  <r>
    <x v="41"/>
    <x v="3"/>
    <n v="2024"/>
    <x v="1"/>
    <x v="28"/>
    <n v="0"/>
  </r>
  <r>
    <x v="41"/>
    <x v="3"/>
    <n v="2023"/>
    <x v="0"/>
    <x v="8"/>
    <n v="0"/>
  </r>
  <r>
    <x v="41"/>
    <x v="3"/>
    <n v="2024"/>
    <x v="1"/>
    <x v="8"/>
    <n v="0"/>
  </r>
  <r>
    <x v="41"/>
    <x v="3"/>
    <n v="2023"/>
    <x v="0"/>
    <x v="35"/>
    <n v="0"/>
  </r>
  <r>
    <x v="41"/>
    <x v="3"/>
    <n v="2024"/>
    <x v="1"/>
    <x v="35"/>
    <n v="0"/>
  </r>
  <r>
    <x v="41"/>
    <x v="3"/>
    <n v="2023"/>
    <x v="0"/>
    <x v="29"/>
    <n v="0"/>
  </r>
  <r>
    <x v="41"/>
    <x v="3"/>
    <n v="2024"/>
    <x v="1"/>
    <x v="29"/>
    <n v="0"/>
  </r>
  <r>
    <x v="41"/>
    <x v="3"/>
    <n v="2023"/>
    <x v="0"/>
    <x v="27"/>
    <n v="0"/>
  </r>
  <r>
    <x v="41"/>
    <x v="3"/>
    <n v="2024"/>
    <x v="1"/>
    <x v="27"/>
    <n v="0"/>
  </r>
  <r>
    <x v="42"/>
    <x v="3"/>
    <n v="2023"/>
    <x v="0"/>
    <x v="33"/>
    <n v="0"/>
  </r>
  <r>
    <x v="42"/>
    <x v="3"/>
    <n v="2024"/>
    <x v="1"/>
    <x v="33"/>
    <n v="2"/>
  </r>
  <r>
    <x v="42"/>
    <x v="3"/>
    <n v="2023"/>
    <x v="0"/>
    <x v="1"/>
    <n v="0"/>
  </r>
  <r>
    <x v="42"/>
    <x v="3"/>
    <n v="2024"/>
    <x v="1"/>
    <x v="1"/>
    <n v="10"/>
  </r>
  <r>
    <x v="42"/>
    <x v="3"/>
    <n v="2023"/>
    <x v="0"/>
    <x v="5"/>
    <n v="0"/>
  </r>
  <r>
    <x v="42"/>
    <x v="3"/>
    <n v="2024"/>
    <x v="1"/>
    <x v="5"/>
    <n v="0"/>
  </r>
  <r>
    <x v="42"/>
    <x v="3"/>
    <n v="2023"/>
    <x v="0"/>
    <x v="36"/>
    <n v="0"/>
  </r>
  <r>
    <x v="42"/>
    <x v="3"/>
    <n v="2024"/>
    <x v="1"/>
    <x v="36"/>
    <n v="0"/>
  </r>
  <r>
    <x v="42"/>
    <x v="3"/>
    <n v="2023"/>
    <x v="0"/>
    <x v="3"/>
    <n v="0"/>
  </r>
  <r>
    <x v="42"/>
    <x v="3"/>
    <n v="2024"/>
    <x v="1"/>
    <x v="3"/>
    <n v="1"/>
  </r>
  <r>
    <x v="42"/>
    <x v="3"/>
    <n v="2023"/>
    <x v="0"/>
    <x v="22"/>
    <n v="0"/>
  </r>
  <r>
    <x v="42"/>
    <x v="3"/>
    <n v="2024"/>
    <x v="1"/>
    <x v="22"/>
    <n v="3"/>
  </r>
  <r>
    <x v="42"/>
    <x v="3"/>
    <n v="2023"/>
    <x v="0"/>
    <x v="29"/>
    <n v="0"/>
  </r>
  <r>
    <x v="42"/>
    <x v="3"/>
    <n v="2024"/>
    <x v="1"/>
    <x v="29"/>
    <n v="0"/>
  </r>
  <r>
    <x v="43"/>
    <x v="3"/>
    <n v="2023"/>
    <x v="0"/>
    <x v="0"/>
    <n v="0"/>
  </r>
  <r>
    <x v="43"/>
    <x v="3"/>
    <n v="2024"/>
    <x v="1"/>
    <x v="0"/>
    <n v="0"/>
  </r>
  <r>
    <x v="43"/>
    <x v="3"/>
    <n v="2023"/>
    <x v="0"/>
    <x v="1"/>
    <n v="1"/>
  </r>
  <r>
    <x v="43"/>
    <x v="3"/>
    <n v="2024"/>
    <x v="1"/>
    <x v="1"/>
    <n v="0"/>
  </r>
  <r>
    <x v="43"/>
    <x v="3"/>
    <n v="2023"/>
    <x v="0"/>
    <x v="18"/>
    <n v="0"/>
  </r>
  <r>
    <x v="43"/>
    <x v="3"/>
    <n v="2024"/>
    <x v="1"/>
    <x v="18"/>
    <n v="0"/>
  </r>
  <r>
    <x v="43"/>
    <x v="3"/>
    <n v="2023"/>
    <x v="0"/>
    <x v="24"/>
    <n v="0"/>
  </r>
  <r>
    <x v="43"/>
    <x v="3"/>
    <n v="2024"/>
    <x v="1"/>
    <x v="24"/>
    <n v="10"/>
  </r>
  <r>
    <x v="43"/>
    <x v="3"/>
    <n v="2023"/>
    <x v="0"/>
    <x v="10"/>
    <n v="0"/>
  </r>
  <r>
    <x v="43"/>
    <x v="3"/>
    <n v="2024"/>
    <x v="1"/>
    <x v="10"/>
    <n v="12"/>
  </r>
  <r>
    <x v="44"/>
    <x v="3"/>
    <n v="2023"/>
    <x v="0"/>
    <x v="0"/>
    <n v="0"/>
  </r>
  <r>
    <x v="44"/>
    <x v="3"/>
    <n v="2024"/>
    <x v="1"/>
    <x v="0"/>
    <n v="0"/>
  </r>
  <r>
    <x v="44"/>
    <x v="3"/>
    <n v="2023"/>
    <x v="0"/>
    <x v="14"/>
    <n v="0"/>
  </r>
  <r>
    <x v="44"/>
    <x v="3"/>
    <n v="2024"/>
    <x v="1"/>
    <x v="14"/>
    <n v="0"/>
  </r>
  <r>
    <x v="44"/>
    <x v="3"/>
    <n v="2023"/>
    <x v="0"/>
    <x v="24"/>
    <n v="0"/>
  </r>
  <r>
    <x v="44"/>
    <x v="3"/>
    <n v="2024"/>
    <x v="1"/>
    <x v="24"/>
    <n v="0"/>
  </r>
  <r>
    <x v="44"/>
    <x v="3"/>
    <n v="2023"/>
    <x v="0"/>
    <x v="22"/>
    <n v="1"/>
  </r>
  <r>
    <x v="44"/>
    <x v="3"/>
    <n v="2024"/>
    <x v="1"/>
    <x v="22"/>
    <n v="0"/>
  </r>
  <r>
    <x v="44"/>
    <x v="3"/>
    <n v="2023"/>
    <x v="0"/>
    <x v="4"/>
    <n v="0"/>
  </r>
  <r>
    <x v="44"/>
    <x v="3"/>
    <n v="2024"/>
    <x v="1"/>
    <x v="4"/>
    <n v="0"/>
  </r>
  <r>
    <x v="45"/>
    <x v="3"/>
    <n v="2023"/>
    <x v="0"/>
    <x v="1"/>
    <n v="0"/>
  </r>
  <r>
    <x v="45"/>
    <x v="3"/>
    <n v="2024"/>
    <x v="1"/>
    <x v="1"/>
    <n v="1"/>
  </r>
  <r>
    <x v="45"/>
    <x v="3"/>
    <n v="2023"/>
    <x v="0"/>
    <x v="3"/>
    <n v="0"/>
  </r>
  <r>
    <x v="45"/>
    <x v="3"/>
    <n v="2024"/>
    <x v="1"/>
    <x v="3"/>
    <n v="3"/>
  </r>
  <r>
    <x v="45"/>
    <x v="3"/>
    <n v="2023"/>
    <x v="0"/>
    <x v="10"/>
    <n v="0"/>
  </r>
  <r>
    <x v="45"/>
    <x v="3"/>
    <n v="2024"/>
    <x v="1"/>
    <x v="10"/>
    <n v="0"/>
  </r>
  <r>
    <x v="45"/>
    <x v="3"/>
    <n v="2023"/>
    <x v="0"/>
    <x v="20"/>
    <n v="0"/>
  </r>
  <r>
    <x v="45"/>
    <x v="3"/>
    <n v="2024"/>
    <x v="1"/>
    <x v="20"/>
    <n v="0"/>
  </r>
  <r>
    <x v="45"/>
    <x v="3"/>
    <n v="2023"/>
    <x v="0"/>
    <x v="37"/>
    <n v="0"/>
  </r>
  <r>
    <x v="45"/>
    <x v="3"/>
    <n v="2024"/>
    <x v="1"/>
    <x v="37"/>
    <n v="0"/>
  </r>
  <r>
    <x v="46"/>
    <x v="3"/>
    <n v="2023"/>
    <x v="0"/>
    <x v="0"/>
    <n v="20"/>
  </r>
  <r>
    <x v="46"/>
    <x v="3"/>
    <n v="2024"/>
    <x v="1"/>
    <x v="0"/>
    <n v="0"/>
  </r>
  <r>
    <x v="46"/>
    <x v="3"/>
    <n v="2023"/>
    <x v="0"/>
    <x v="4"/>
    <n v="1"/>
  </r>
  <r>
    <x v="46"/>
    <x v="3"/>
    <n v="2024"/>
    <x v="1"/>
    <x v="4"/>
    <n v="0"/>
  </r>
  <r>
    <x v="47"/>
    <x v="3"/>
    <n v="2023"/>
    <x v="0"/>
    <x v="0"/>
    <n v="20"/>
  </r>
  <r>
    <x v="47"/>
    <x v="3"/>
    <n v="2024"/>
    <x v="1"/>
    <x v="0"/>
    <n v="0"/>
  </r>
  <r>
    <x v="47"/>
    <x v="3"/>
    <n v="2023"/>
    <x v="0"/>
    <x v="4"/>
    <n v="1"/>
  </r>
  <r>
    <x v="47"/>
    <x v="3"/>
    <n v="2024"/>
    <x v="1"/>
    <x v="4"/>
    <n v="0"/>
  </r>
  <r>
    <x v="48"/>
    <x v="4"/>
    <n v="2024"/>
    <x v="0"/>
    <x v="38"/>
    <n v="0"/>
  </r>
  <r>
    <x v="48"/>
    <x v="4"/>
    <n v="2024"/>
    <x v="0"/>
    <x v="27"/>
    <n v="0"/>
  </r>
  <r>
    <x v="48"/>
    <x v="4"/>
    <n v="2024"/>
    <x v="0"/>
    <x v="32"/>
    <n v="0"/>
  </r>
  <r>
    <x v="49"/>
    <x v="4"/>
    <n v="2024"/>
    <x v="0"/>
    <x v="0"/>
    <n v="9"/>
  </r>
  <r>
    <x v="49"/>
    <x v="4"/>
    <n v="2024"/>
    <x v="0"/>
    <x v="1"/>
    <n v="0"/>
  </r>
  <r>
    <x v="49"/>
    <x v="4"/>
    <n v="2024"/>
    <x v="0"/>
    <x v="34"/>
    <n v="0"/>
  </r>
  <r>
    <x v="49"/>
    <x v="4"/>
    <n v="2024"/>
    <x v="0"/>
    <x v="39"/>
    <n v="0"/>
  </r>
  <r>
    <x v="49"/>
    <x v="4"/>
    <n v="2024"/>
    <x v="0"/>
    <x v="5"/>
    <n v="0"/>
  </r>
  <r>
    <x v="49"/>
    <x v="4"/>
    <n v="2024"/>
    <x v="0"/>
    <x v="14"/>
    <n v="0"/>
  </r>
  <r>
    <x v="49"/>
    <x v="4"/>
    <n v="2024"/>
    <x v="0"/>
    <x v="15"/>
    <n v="0"/>
  </r>
  <r>
    <x v="49"/>
    <x v="4"/>
    <n v="2024"/>
    <x v="0"/>
    <x v="11"/>
    <n v="0"/>
  </r>
  <r>
    <x v="49"/>
    <x v="4"/>
    <n v="2024"/>
    <x v="0"/>
    <x v="31"/>
    <n v="4"/>
  </r>
  <r>
    <x v="49"/>
    <x v="4"/>
    <n v="2024"/>
    <x v="0"/>
    <x v="30"/>
    <n v="0"/>
  </r>
  <r>
    <x v="50"/>
    <x v="4"/>
    <n v="2024"/>
    <x v="0"/>
    <x v="39"/>
    <n v="1"/>
  </r>
  <r>
    <x v="50"/>
    <x v="4"/>
    <n v="2024"/>
    <x v="0"/>
    <x v="16"/>
    <n v="0"/>
  </r>
  <r>
    <x v="50"/>
    <x v="4"/>
    <n v="2024"/>
    <x v="0"/>
    <x v="12"/>
    <n v="7"/>
  </r>
  <r>
    <x v="50"/>
    <x v="4"/>
    <n v="2024"/>
    <x v="0"/>
    <x v="4"/>
    <n v="0"/>
  </r>
  <r>
    <x v="50"/>
    <x v="4"/>
    <n v="2024"/>
    <x v="0"/>
    <x v="7"/>
    <n v="0"/>
  </r>
  <r>
    <x v="51"/>
    <x v="4"/>
    <n v="2024"/>
    <x v="0"/>
    <x v="40"/>
    <n v="0"/>
  </r>
  <r>
    <x v="51"/>
    <x v="4"/>
    <n v="2024"/>
    <x v="0"/>
    <x v="39"/>
    <n v="0"/>
  </r>
  <r>
    <x v="51"/>
    <x v="4"/>
    <n v="2024"/>
    <x v="0"/>
    <x v="41"/>
    <n v="0"/>
  </r>
  <r>
    <x v="51"/>
    <x v="4"/>
    <n v="2024"/>
    <x v="0"/>
    <x v="42"/>
    <n v="0"/>
  </r>
  <r>
    <x v="51"/>
    <x v="4"/>
    <n v="2024"/>
    <x v="0"/>
    <x v="43"/>
    <n v="0"/>
  </r>
  <r>
    <x v="51"/>
    <x v="4"/>
    <n v="2024"/>
    <x v="0"/>
    <x v="37"/>
    <n v="0"/>
  </r>
  <r>
    <x v="51"/>
    <x v="4"/>
    <n v="2024"/>
    <x v="0"/>
    <x v="44"/>
    <n v="0"/>
  </r>
  <r>
    <x v="51"/>
    <x v="4"/>
    <n v="2024"/>
    <x v="0"/>
    <x v="45"/>
    <n v="0"/>
  </r>
  <r>
    <x v="51"/>
    <x v="4"/>
    <n v="2024"/>
    <x v="0"/>
    <x v="46"/>
    <n v="3"/>
  </r>
  <r>
    <x v="51"/>
    <x v="4"/>
    <n v="2024"/>
    <x v="0"/>
    <x v="47"/>
    <n v="0"/>
  </r>
  <r>
    <x v="51"/>
    <x v="4"/>
    <n v="2024"/>
    <x v="0"/>
    <x v="48"/>
    <n v="0"/>
  </r>
  <r>
    <x v="51"/>
    <x v="4"/>
    <n v="2024"/>
    <x v="0"/>
    <x v="49"/>
    <n v="2"/>
  </r>
  <r>
    <x v="51"/>
    <x v="4"/>
    <n v="2024"/>
    <x v="0"/>
    <x v="50"/>
    <n v="0"/>
  </r>
  <r>
    <x v="52"/>
    <x v="4"/>
    <n v="2024"/>
    <x v="0"/>
    <x v="40"/>
    <n v="0"/>
  </r>
  <r>
    <x v="52"/>
    <x v="4"/>
    <n v="2024"/>
    <x v="0"/>
    <x v="5"/>
    <n v="0"/>
  </r>
  <r>
    <x v="52"/>
    <x v="4"/>
    <n v="2024"/>
    <x v="0"/>
    <x v="51"/>
    <n v="0"/>
  </r>
  <r>
    <x v="52"/>
    <x v="4"/>
    <n v="2024"/>
    <x v="0"/>
    <x v="37"/>
    <n v="0"/>
  </r>
  <r>
    <x v="52"/>
    <x v="4"/>
    <n v="2024"/>
    <x v="0"/>
    <x v="52"/>
    <n v="0"/>
  </r>
  <r>
    <x v="52"/>
    <x v="4"/>
    <n v="2024"/>
    <x v="0"/>
    <x v="38"/>
    <n v="0"/>
  </r>
  <r>
    <x v="52"/>
    <x v="4"/>
    <n v="2024"/>
    <x v="0"/>
    <x v="46"/>
    <n v="0"/>
  </r>
  <r>
    <x v="52"/>
    <x v="4"/>
    <n v="2024"/>
    <x v="0"/>
    <x v="53"/>
    <n v="0"/>
  </r>
  <r>
    <x v="52"/>
    <x v="4"/>
    <n v="2024"/>
    <x v="0"/>
    <x v="48"/>
    <n v="0"/>
  </r>
  <r>
    <x v="52"/>
    <x v="4"/>
    <n v="2024"/>
    <x v="0"/>
    <x v="29"/>
    <n v="0"/>
  </r>
  <r>
    <x v="53"/>
    <x v="4"/>
    <n v="2024"/>
    <x v="0"/>
    <x v="14"/>
    <n v="0"/>
  </r>
  <r>
    <x v="53"/>
    <x v="4"/>
    <n v="2024"/>
    <x v="0"/>
    <x v="6"/>
    <n v="0"/>
  </r>
  <r>
    <x v="53"/>
    <x v="4"/>
    <n v="2024"/>
    <x v="0"/>
    <x v="7"/>
    <n v="2"/>
  </r>
  <r>
    <x v="54"/>
    <x v="4"/>
    <n v="2024"/>
    <x v="0"/>
    <x v="0"/>
    <n v="4"/>
  </r>
  <r>
    <x v="54"/>
    <x v="4"/>
    <n v="2024"/>
    <x v="0"/>
    <x v="27"/>
    <n v="0"/>
  </r>
  <r>
    <x v="54"/>
    <x v="4"/>
    <n v="2024"/>
    <x v="0"/>
    <x v="54"/>
    <n v="0"/>
  </r>
  <r>
    <x v="54"/>
    <x v="4"/>
    <n v="2024"/>
    <x v="0"/>
    <x v="32"/>
    <n v="4"/>
  </r>
  <r>
    <x v="55"/>
    <x v="4"/>
    <n v="2024"/>
    <x v="0"/>
    <x v="55"/>
    <n v="7"/>
  </r>
  <r>
    <x v="55"/>
    <x v="4"/>
    <n v="2024"/>
    <x v="0"/>
    <x v="40"/>
    <n v="1"/>
  </r>
  <r>
    <x v="55"/>
    <x v="4"/>
    <n v="2024"/>
    <x v="0"/>
    <x v="41"/>
    <n v="0"/>
  </r>
  <r>
    <x v="55"/>
    <x v="4"/>
    <n v="2024"/>
    <x v="0"/>
    <x v="56"/>
    <n v="0"/>
  </r>
  <r>
    <x v="55"/>
    <x v="4"/>
    <n v="2024"/>
    <x v="0"/>
    <x v="57"/>
    <n v="0"/>
  </r>
  <r>
    <x v="56"/>
    <x v="4"/>
    <n v="2024"/>
    <x v="0"/>
    <x v="0"/>
    <n v="0"/>
  </r>
  <r>
    <x v="56"/>
    <x v="4"/>
    <n v="2024"/>
    <x v="0"/>
    <x v="33"/>
    <n v="1"/>
  </r>
  <r>
    <x v="56"/>
    <x v="4"/>
    <n v="2024"/>
    <x v="0"/>
    <x v="1"/>
    <n v="1"/>
  </r>
  <r>
    <x v="56"/>
    <x v="4"/>
    <n v="2024"/>
    <x v="0"/>
    <x v="39"/>
    <n v="2"/>
  </r>
  <r>
    <x v="56"/>
    <x v="4"/>
    <n v="2024"/>
    <x v="0"/>
    <x v="56"/>
    <n v="69"/>
  </r>
  <r>
    <x v="56"/>
    <x v="4"/>
    <n v="2024"/>
    <x v="0"/>
    <x v="37"/>
    <n v="0"/>
  </r>
  <r>
    <x v="56"/>
    <x v="4"/>
    <n v="2024"/>
    <x v="0"/>
    <x v="38"/>
    <n v="0"/>
  </r>
  <r>
    <x v="56"/>
    <x v="4"/>
    <n v="2024"/>
    <x v="0"/>
    <x v="19"/>
    <n v="5"/>
  </r>
  <r>
    <x v="56"/>
    <x v="4"/>
    <n v="2024"/>
    <x v="0"/>
    <x v="35"/>
    <n v="0"/>
  </r>
  <r>
    <x v="56"/>
    <x v="4"/>
    <n v="2024"/>
    <x v="0"/>
    <x v="58"/>
    <n v="0"/>
  </r>
  <r>
    <x v="57"/>
    <x v="4"/>
    <n v="2024"/>
    <x v="0"/>
    <x v="40"/>
    <n v="2"/>
  </r>
  <r>
    <x v="57"/>
    <x v="4"/>
    <n v="2024"/>
    <x v="0"/>
    <x v="39"/>
    <n v="0"/>
  </r>
  <r>
    <x v="57"/>
    <x v="4"/>
    <n v="2024"/>
    <x v="0"/>
    <x v="59"/>
    <n v="11"/>
  </r>
  <r>
    <x v="57"/>
    <x v="4"/>
    <n v="2024"/>
    <x v="0"/>
    <x v="42"/>
    <n v="0"/>
  </r>
  <r>
    <x v="57"/>
    <x v="4"/>
    <n v="2024"/>
    <x v="0"/>
    <x v="37"/>
    <n v="1"/>
  </r>
  <r>
    <x v="57"/>
    <x v="4"/>
    <n v="2024"/>
    <x v="0"/>
    <x v="38"/>
    <n v="11"/>
  </r>
  <r>
    <x v="57"/>
    <x v="4"/>
    <n v="2024"/>
    <x v="0"/>
    <x v="60"/>
    <n v="0"/>
  </r>
  <r>
    <x v="57"/>
    <x v="4"/>
    <n v="2024"/>
    <x v="0"/>
    <x v="53"/>
    <n v="0"/>
  </r>
  <r>
    <x v="57"/>
    <x v="4"/>
    <n v="2024"/>
    <x v="0"/>
    <x v="47"/>
    <n v="0"/>
  </r>
  <r>
    <x v="57"/>
    <x v="4"/>
    <n v="2024"/>
    <x v="0"/>
    <x v="49"/>
    <n v="0"/>
  </r>
  <r>
    <x v="58"/>
    <x v="4"/>
    <n v="2024"/>
    <x v="0"/>
    <x v="0"/>
    <n v="6"/>
  </r>
  <r>
    <x v="58"/>
    <x v="4"/>
    <n v="2024"/>
    <x v="0"/>
    <x v="34"/>
    <n v="0"/>
  </r>
  <r>
    <x v="58"/>
    <x v="4"/>
    <n v="2024"/>
    <x v="0"/>
    <x v="14"/>
    <n v="0"/>
  </r>
  <r>
    <x v="58"/>
    <x v="4"/>
    <n v="2024"/>
    <x v="0"/>
    <x v="15"/>
    <n v="0"/>
  </r>
  <r>
    <x v="58"/>
    <x v="4"/>
    <n v="2024"/>
    <x v="0"/>
    <x v="10"/>
    <n v="1"/>
  </r>
  <r>
    <x v="58"/>
    <x v="4"/>
    <n v="2024"/>
    <x v="0"/>
    <x v="20"/>
    <n v="0"/>
  </r>
  <r>
    <x v="58"/>
    <x v="4"/>
    <n v="2024"/>
    <x v="0"/>
    <x v="27"/>
    <n v="0"/>
  </r>
  <r>
    <x v="58"/>
    <x v="4"/>
    <n v="2024"/>
    <x v="0"/>
    <x v="32"/>
    <n v="21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
  <r>
    <x v="0"/>
    <x v="0"/>
    <x v="0"/>
  </r>
  <r>
    <x v="1"/>
    <x v="0"/>
    <x v="1"/>
  </r>
  <r>
    <x v="2"/>
    <x v="0"/>
    <x v="2"/>
  </r>
  <r>
    <x v="3"/>
    <x v="0"/>
    <x v="0"/>
  </r>
  <r>
    <x v="4"/>
    <x v="0"/>
    <x v="1"/>
  </r>
  <r>
    <x v="5"/>
    <x v="0"/>
    <x v="0"/>
  </r>
  <r>
    <x v="0"/>
    <x v="0"/>
    <x v="3"/>
  </r>
  <r>
    <x v="0"/>
    <x v="0"/>
    <x v="4"/>
  </r>
  <r>
    <x v="5"/>
    <x v="0"/>
    <x v="5"/>
  </r>
  <r>
    <x v="1"/>
    <x v="0"/>
    <x v="3"/>
  </r>
  <r>
    <x v="6"/>
    <x v="0"/>
    <x v="6"/>
  </r>
  <r>
    <x v="5"/>
    <x v="0"/>
    <x v="1"/>
  </r>
  <r>
    <x v="7"/>
    <x v="0"/>
    <x v="3"/>
  </r>
  <r>
    <x v="8"/>
    <x v="0"/>
    <x v="1"/>
  </r>
  <r>
    <x v="9"/>
    <x v="0"/>
    <x v="7"/>
  </r>
  <r>
    <x v="0"/>
    <x v="0"/>
    <x v="5"/>
  </r>
  <r>
    <x v="10"/>
    <x v="0"/>
    <x v="3"/>
  </r>
  <r>
    <x v="11"/>
    <x v="0"/>
    <x v="8"/>
  </r>
  <r>
    <x v="12"/>
    <x v="0"/>
    <x v="9"/>
  </r>
  <r>
    <x v="13"/>
    <x v="0"/>
    <x v="9"/>
  </r>
  <r>
    <x v="8"/>
    <x v="0"/>
    <x v="10"/>
  </r>
  <r>
    <x v="14"/>
    <x v="0"/>
    <x v="0"/>
  </r>
  <r>
    <x v="1"/>
    <x v="0"/>
    <x v="3"/>
  </r>
  <r>
    <x v="3"/>
    <x v="0"/>
    <x v="3"/>
  </r>
  <r>
    <x v="11"/>
    <x v="0"/>
    <x v="11"/>
  </r>
  <r>
    <x v="15"/>
    <x v="0"/>
    <x v="1"/>
  </r>
  <r>
    <x v="7"/>
    <x v="0"/>
    <x v="3"/>
  </r>
  <r>
    <x v="0"/>
    <x v="0"/>
    <x v="4"/>
  </r>
  <r>
    <x v="0"/>
    <x v="0"/>
    <x v="4"/>
  </r>
  <r>
    <x v="0"/>
    <x v="1"/>
    <x v="10"/>
  </r>
  <r>
    <x v="1"/>
    <x v="1"/>
    <x v="12"/>
  </r>
  <r>
    <x v="16"/>
    <x v="1"/>
    <x v="0"/>
  </r>
  <r>
    <x v="3"/>
    <x v="1"/>
    <x v="3"/>
  </r>
  <r>
    <x v="11"/>
    <x v="1"/>
    <x v="3"/>
  </r>
  <r>
    <x v="0"/>
    <x v="1"/>
    <x v="13"/>
  </r>
  <r>
    <x v="0"/>
    <x v="1"/>
    <x v="0"/>
  </r>
  <r>
    <x v="1"/>
    <x v="1"/>
    <x v="3"/>
  </r>
  <r>
    <x v="10"/>
    <x v="1"/>
    <x v="3"/>
  </r>
  <r>
    <x v="16"/>
    <x v="1"/>
    <x v="3"/>
  </r>
  <r>
    <x v="17"/>
    <x v="1"/>
    <x v="0"/>
  </r>
  <r>
    <x v="3"/>
    <x v="1"/>
    <x v="1"/>
  </r>
  <r>
    <x v="18"/>
    <x v="1"/>
    <x v="1"/>
  </r>
  <r>
    <x v="12"/>
    <x v="1"/>
    <x v="0"/>
  </r>
  <r>
    <x v="19"/>
    <x v="1"/>
    <x v="14"/>
  </r>
  <r>
    <x v="15"/>
    <x v="1"/>
    <x v="6"/>
  </r>
  <r>
    <x v="5"/>
    <x v="1"/>
    <x v="3"/>
  </r>
  <r>
    <x v="7"/>
    <x v="1"/>
    <x v="3"/>
  </r>
  <r>
    <x v="8"/>
    <x v="1"/>
    <x v="3"/>
  </r>
  <r>
    <x v="20"/>
    <x v="1"/>
    <x v="0"/>
  </r>
  <r>
    <x v="19"/>
    <x v="1"/>
    <x v="15"/>
  </r>
  <r>
    <x v="0"/>
    <x v="1"/>
    <x v="16"/>
  </r>
  <r>
    <x v="0"/>
    <x v="1"/>
    <x v="4"/>
  </r>
  <r>
    <x v="5"/>
    <x v="1"/>
    <x v="5"/>
  </r>
  <r>
    <x v="0"/>
    <x v="1"/>
    <x v="17"/>
  </r>
  <r>
    <x v="21"/>
    <x v="1"/>
    <x v="8"/>
  </r>
  <r>
    <x v="3"/>
    <x v="1"/>
    <x v="3"/>
  </r>
  <r>
    <x v="0"/>
    <x v="1"/>
    <x v="18"/>
  </r>
  <r>
    <x v="1"/>
    <x v="1"/>
    <x v="5"/>
  </r>
  <r>
    <x v="16"/>
    <x v="1"/>
    <x v="3"/>
  </r>
  <r>
    <x v="3"/>
    <x v="1"/>
    <x v="3"/>
  </r>
  <r>
    <x v="9"/>
    <x v="1"/>
    <x v="19"/>
  </r>
  <r>
    <x v="16"/>
    <x v="1"/>
    <x v="3"/>
  </r>
  <r>
    <x v="11"/>
    <x v="1"/>
    <x v="3"/>
  </r>
  <r>
    <x v="22"/>
    <x v="1"/>
    <x v="20"/>
  </r>
  <r>
    <x v="0"/>
    <x v="1"/>
    <x v="16"/>
  </r>
  <r>
    <x v="1"/>
    <x v="1"/>
    <x v="5"/>
  </r>
  <r>
    <x v="6"/>
    <x v="1"/>
    <x v="1"/>
  </r>
  <r>
    <x v="3"/>
    <x v="1"/>
    <x v="1"/>
  </r>
  <r>
    <x v="9"/>
    <x v="1"/>
    <x v="16"/>
  </r>
  <r>
    <x v="0"/>
    <x v="1"/>
    <x v="0"/>
  </r>
  <r>
    <x v="6"/>
    <x v="1"/>
    <x v="0"/>
  </r>
  <r>
    <x v="3"/>
    <x v="1"/>
    <x v="21"/>
  </r>
  <r>
    <x v="11"/>
    <x v="1"/>
    <x v="16"/>
  </r>
  <r>
    <x v="9"/>
    <x v="1"/>
    <x v="22"/>
  </r>
  <r>
    <x v="0"/>
    <x v="1"/>
    <x v="21"/>
  </r>
  <r>
    <x v="6"/>
    <x v="1"/>
    <x v="12"/>
  </r>
  <r>
    <x v="9"/>
    <x v="1"/>
    <x v="23"/>
  </r>
  <r>
    <x v="1"/>
    <x v="1"/>
    <x v="1"/>
  </r>
  <r>
    <x v="10"/>
    <x v="1"/>
    <x v="3"/>
  </r>
  <r>
    <x v="6"/>
    <x v="1"/>
    <x v="3"/>
  </r>
  <r>
    <x v="23"/>
    <x v="1"/>
    <x v="3"/>
  </r>
  <r>
    <x v="0"/>
    <x v="1"/>
    <x v="4"/>
  </r>
  <r>
    <x v="5"/>
    <x v="1"/>
    <x v="5"/>
  </r>
  <r>
    <x v="6"/>
    <x v="1"/>
    <x v="1"/>
  </r>
  <r>
    <x v="3"/>
    <x v="1"/>
    <x v="1"/>
  </r>
  <r>
    <x v="24"/>
    <x v="1"/>
    <x v="3"/>
  </r>
  <r>
    <x v="1"/>
    <x v="1"/>
    <x v="1"/>
  </r>
  <r>
    <x v="16"/>
    <x v="1"/>
    <x v="0"/>
  </r>
  <r>
    <x v="3"/>
    <x v="1"/>
    <x v="1"/>
  </r>
  <r>
    <x v="19"/>
    <x v="1"/>
    <x v="24"/>
  </r>
  <r>
    <x v="4"/>
    <x v="1"/>
    <x v="3"/>
  </r>
  <r>
    <x v="0"/>
    <x v="1"/>
    <x v="12"/>
  </r>
  <r>
    <x v="6"/>
    <x v="1"/>
    <x v="3"/>
  </r>
  <r>
    <x v="3"/>
    <x v="1"/>
    <x v="12"/>
  </r>
  <r>
    <x v="25"/>
    <x v="1"/>
    <x v="5"/>
  </r>
  <r>
    <x v="5"/>
    <x v="1"/>
    <x v="0"/>
  </r>
  <r>
    <x v="0"/>
    <x v="1"/>
    <x v="25"/>
  </r>
  <r>
    <x v="26"/>
    <x v="1"/>
    <x v="1"/>
  </r>
  <r>
    <x v="10"/>
    <x v="1"/>
    <x v="3"/>
  </r>
  <r>
    <x v="27"/>
    <x v="1"/>
    <x v="1"/>
  </r>
  <r>
    <x v="28"/>
    <x v="1"/>
    <x v="2"/>
  </r>
  <r>
    <x v="11"/>
    <x v="1"/>
    <x v="3"/>
  </r>
  <r>
    <x v="5"/>
    <x v="1"/>
    <x v="1"/>
  </r>
  <r>
    <x v="9"/>
    <x v="1"/>
    <x v="3"/>
  </r>
  <r>
    <x v="0"/>
    <x v="1"/>
    <x v="26"/>
  </r>
  <r>
    <x v="29"/>
    <x v="1"/>
    <x v="8"/>
  </r>
  <r>
    <x v="3"/>
    <x v="1"/>
    <x v="1"/>
  </r>
  <r>
    <x v="11"/>
    <x v="1"/>
    <x v="1"/>
  </r>
  <r>
    <x v="13"/>
    <x v="1"/>
    <x v="12"/>
  </r>
  <r>
    <x v="8"/>
    <x v="1"/>
    <x v="5"/>
  </r>
  <r>
    <x v="14"/>
    <x v="1"/>
    <x v="1"/>
  </r>
  <r>
    <x v="1"/>
    <x v="1"/>
    <x v="1"/>
  </r>
  <r>
    <x v="30"/>
    <x v="1"/>
    <x v="27"/>
  </r>
  <r>
    <x v="31"/>
    <x v="1"/>
    <x v="1"/>
  </r>
  <r>
    <x v="19"/>
    <x v="1"/>
    <x v="14"/>
  </r>
  <r>
    <x v="15"/>
    <x v="1"/>
    <x v="8"/>
  </r>
  <r>
    <x v="13"/>
    <x v="1"/>
    <x v="14"/>
  </r>
  <r>
    <x v="0"/>
    <x v="2"/>
    <x v="10"/>
  </r>
  <r>
    <x v="0"/>
    <x v="1"/>
    <x v="28"/>
  </r>
  <r>
    <x v="0"/>
    <x v="2"/>
    <x v="4"/>
  </r>
  <r>
    <x v="5"/>
    <x v="2"/>
    <x v="5"/>
  </r>
  <r>
    <x v="6"/>
    <x v="2"/>
    <x v="3"/>
  </r>
  <r>
    <x v="16"/>
    <x v="2"/>
    <x v="6"/>
  </r>
  <r>
    <x v="11"/>
    <x v="2"/>
    <x v="6"/>
  </r>
  <r>
    <x v="32"/>
    <x v="2"/>
    <x v="1"/>
  </r>
  <r>
    <x v="0"/>
    <x v="2"/>
    <x v="11"/>
  </r>
  <r>
    <x v="1"/>
    <x v="2"/>
    <x v="2"/>
  </r>
  <r>
    <x v="21"/>
    <x v="2"/>
    <x v="8"/>
  </r>
  <r>
    <x v="33"/>
    <x v="2"/>
    <x v="2"/>
  </r>
  <r>
    <x v="10"/>
    <x v="2"/>
    <x v="12"/>
  </r>
  <r>
    <x v="19"/>
    <x v="2"/>
    <x v="29"/>
  </r>
  <r>
    <x v="34"/>
    <x v="2"/>
    <x v="9"/>
  </r>
  <r>
    <x v="15"/>
    <x v="2"/>
    <x v="5"/>
  </r>
  <r>
    <x v="8"/>
    <x v="2"/>
    <x v="30"/>
  </r>
  <r>
    <x v="0"/>
    <x v="2"/>
    <x v="25"/>
  </r>
  <r>
    <x v="21"/>
    <x v="2"/>
    <x v="8"/>
  </r>
  <r>
    <x v="26"/>
    <x v="2"/>
    <x v="2"/>
  </r>
  <r>
    <x v="10"/>
    <x v="2"/>
    <x v="12"/>
  </r>
  <r>
    <x v="19"/>
    <x v="2"/>
    <x v="29"/>
  </r>
  <r>
    <x v="34"/>
    <x v="2"/>
    <x v="9"/>
  </r>
  <r>
    <x v="15"/>
    <x v="2"/>
    <x v="5"/>
  </r>
  <r>
    <x v="8"/>
    <x v="2"/>
    <x v="30"/>
  </r>
  <r>
    <x v="0"/>
    <x v="2"/>
    <x v="3"/>
  </r>
  <r>
    <x v="1"/>
    <x v="2"/>
    <x v="3"/>
  </r>
  <r>
    <x v="25"/>
    <x v="2"/>
    <x v="3"/>
  </r>
  <r>
    <x v="15"/>
    <x v="2"/>
    <x v="10"/>
  </r>
  <r>
    <x v="0"/>
    <x v="2"/>
    <x v="3"/>
  </r>
  <r>
    <x v="1"/>
    <x v="2"/>
    <x v="3"/>
  </r>
  <r>
    <x v="0"/>
    <x v="2"/>
    <x v="12"/>
  </r>
  <r>
    <x v="1"/>
    <x v="2"/>
    <x v="3"/>
  </r>
  <r>
    <x v="21"/>
    <x v="2"/>
    <x v="6"/>
  </r>
  <r>
    <x v="10"/>
    <x v="2"/>
    <x v="3"/>
  </r>
  <r>
    <x v="6"/>
    <x v="2"/>
    <x v="3"/>
  </r>
  <r>
    <x v="35"/>
    <x v="2"/>
    <x v="1"/>
  </r>
  <r>
    <x v="19"/>
    <x v="2"/>
    <x v="31"/>
  </r>
  <r>
    <x v="15"/>
    <x v="2"/>
    <x v="0"/>
  </r>
  <r>
    <x v="1"/>
    <x v="2"/>
    <x v="1"/>
  </r>
  <r>
    <x v="21"/>
    <x v="2"/>
    <x v="12"/>
  </r>
  <r>
    <x v="10"/>
    <x v="2"/>
    <x v="0"/>
  </r>
  <r>
    <x v="35"/>
    <x v="2"/>
    <x v="5"/>
  </r>
  <r>
    <x v="19"/>
    <x v="2"/>
    <x v="32"/>
  </r>
  <r>
    <x v="15"/>
    <x v="2"/>
    <x v="0"/>
  </r>
  <r>
    <x v="21"/>
    <x v="2"/>
    <x v="13"/>
  </r>
  <r>
    <x v="23"/>
    <x v="2"/>
    <x v="1"/>
  </r>
  <r>
    <x v="19"/>
    <x v="2"/>
    <x v="33"/>
  </r>
  <r>
    <x v="4"/>
    <x v="2"/>
    <x v="3"/>
  </r>
  <r>
    <x v="36"/>
    <x v="2"/>
    <x v="3"/>
  </r>
  <r>
    <x v="19"/>
    <x v="2"/>
    <x v="33"/>
  </r>
  <r>
    <x v="21"/>
    <x v="2"/>
    <x v="13"/>
  </r>
  <r>
    <x v="0"/>
    <x v="2"/>
    <x v="16"/>
  </r>
  <r>
    <x v="1"/>
    <x v="2"/>
    <x v="3"/>
  </r>
  <r>
    <x v="6"/>
    <x v="2"/>
    <x v="1"/>
  </r>
  <r>
    <x v="3"/>
    <x v="2"/>
    <x v="10"/>
  </r>
  <r>
    <x v="12"/>
    <x v="2"/>
    <x v="10"/>
  </r>
  <r>
    <x v="31"/>
    <x v="2"/>
    <x v="1"/>
  </r>
  <r>
    <x v="13"/>
    <x v="2"/>
    <x v="10"/>
  </r>
  <r>
    <x v="5"/>
    <x v="2"/>
    <x v="10"/>
  </r>
  <r>
    <x v="5"/>
    <x v="2"/>
    <x v="1"/>
  </r>
  <r>
    <x v="8"/>
    <x v="2"/>
    <x v="3"/>
  </r>
  <r>
    <x v="0"/>
    <x v="2"/>
    <x v="10"/>
  </r>
  <r>
    <x v="10"/>
    <x v="2"/>
    <x v="6"/>
  </r>
  <r>
    <x v="28"/>
    <x v="2"/>
    <x v="10"/>
  </r>
  <r>
    <x v="25"/>
    <x v="2"/>
    <x v="5"/>
  </r>
  <r>
    <x v="19"/>
    <x v="2"/>
    <x v="34"/>
  </r>
  <r>
    <x v="22"/>
    <x v="2"/>
    <x v="17"/>
  </r>
  <r>
    <x v="15"/>
    <x v="2"/>
    <x v="16"/>
  </r>
  <r>
    <x v="0"/>
    <x v="2"/>
    <x v="35"/>
  </r>
  <r>
    <x v="10"/>
    <x v="2"/>
    <x v="6"/>
  </r>
  <r>
    <x v="28"/>
    <x v="2"/>
    <x v="13"/>
  </r>
  <r>
    <x v="25"/>
    <x v="2"/>
    <x v="5"/>
  </r>
  <r>
    <x v="19"/>
    <x v="2"/>
    <x v="34"/>
  </r>
  <r>
    <x v="22"/>
    <x v="2"/>
    <x v="15"/>
  </r>
  <r>
    <x v="15"/>
    <x v="2"/>
    <x v="16"/>
  </r>
  <r>
    <x v="11"/>
    <x v="2"/>
    <x v="3"/>
  </r>
  <r>
    <x v="23"/>
    <x v="2"/>
    <x v="3"/>
  </r>
  <r>
    <x v="25"/>
    <x v="2"/>
    <x v="3"/>
  </r>
  <r>
    <x v="31"/>
    <x v="2"/>
    <x v="5"/>
  </r>
  <r>
    <x v="37"/>
    <x v="2"/>
    <x v="1"/>
  </r>
  <r>
    <x v="19"/>
    <x v="2"/>
    <x v="36"/>
  </r>
  <r>
    <x v="15"/>
    <x v="2"/>
    <x v="30"/>
  </r>
  <r>
    <x v="38"/>
    <x v="2"/>
    <x v="37"/>
  </r>
  <r>
    <x v="0"/>
    <x v="2"/>
    <x v="10"/>
  </r>
  <r>
    <x v="6"/>
    <x v="2"/>
    <x v="10"/>
  </r>
  <r>
    <x v="1"/>
    <x v="2"/>
    <x v="30"/>
  </r>
  <r>
    <x v="34"/>
    <x v="2"/>
    <x v="29"/>
  </r>
  <r>
    <x v="0"/>
    <x v="2"/>
    <x v="10"/>
  </r>
  <r>
    <x v="14"/>
    <x v="2"/>
    <x v="10"/>
  </r>
  <r>
    <x v="1"/>
    <x v="2"/>
    <x v="10"/>
  </r>
  <r>
    <x v="21"/>
    <x v="2"/>
    <x v="10"/>
  </r>
  <r>
    <x v="6"/>
    <x v="2"/>
    <x v="10"/>
  </r>
  <r>
    <x v="16"/>
    <x v="2"/>
    <x v="10"/>
  </r>
  <r>
    <x v="30"/>
    <x v="2"/>
    <x v="10"/>
  </r>
  <r>
    <x v="3"/>
    <x v="2"/>
    <x v="30"/>
  </r>
  <r>
    <x v="11"/>
    <x v="2"/>
    <x v="27"/>
  </r>
  <r>
    <x v="23"/>
    <x v="2"/>
    <x v="3"/>
  </r>
  <r>
    <x v="35"/>
    <x v="2"/>
    <x v="10"/>
  </r>
  <r>
    <x v="9"/>
    <x v="2"/>
    <x v="10"/>
  </r>
  <r>
    <x v="39"/>
    <x v="2"/>
    <x v="10"/>
  </r>
  <r>
    <x v="4"/>
    <x v="2"/>
    <x v="10"/>
  </r>
  <r>
    <x v="32"/>
    <x v="2"/>
    <x v="10"/>
  </r>
  <r>
    <x v="14"/>
    <x v="2"/>
    <x v="1"/>
  </r>
  <r>
    <x v="1"/>
    <x v="2"/>
    <x v="16"/>
  </r>
  <r>
    <x v="6"/>
    <x v="2"/>
    <x v="3"/>
  </r>
  <r>
    <x v="27"/>
    <x v="2"/>
    <x v="3"/>
  </r>
  <r>
    <x v="25"/>
    <x v="2"/>
    <x v="6"/>
  </r>
  <r>
    <x v="4"/>
    <x v="2"/>
    <x v="1"/>
  </r>
  <r>
    <x v="16"/>
    <x v="2"/>
    <x v="3"/>
  </r>
  <r>
    <x v="3"/>
    <x v="2"/>
    <x v="3"/>
  </r>
  <r>
    <x v="25"/>
    <x v="2"/>
    <x v="6"/>
  </r>
  <r>
    <x v="0"/>
    <x v="2"/>
    <x v="38"/>
  </r>
  <r>
    <x v="1"/>
    <x v="2"/>
    <x v="3"/>
  </r>
  <r>
    <x v="21"/>
    <x v="2"/>
    <x v="1"/>
  </r>
  <r>
    <x v="28"/>
    <x v="2"/>
    <x v="39"/>
  </r>
  <r>
    <x v="11"/>
    <x v="2"/>
    <x v="8"/>
  </r>
  <r>
    <x v="0"/>
    <x v="2"/>
    <x v="12"/>
  </r>
  <r>
    <x v="0"/>
    <x v="2"/>
    <x v="1"/>
  </r>
  <r>
    <x v="16"/>
    <x v="2"/>
    <x v="3"/>
  </r>
  <r>
    <x v="28"/>
    <x v="2"/>
    <x v="25"/>
  </r>
  <r>
    <x v="25"/>
    <x v="2"/>
    <x v="1"/>
  </r>
  <r>
    <x v="5"/>
    <x v="2"/>
    <x v="3"/>
  </r>
  <r>
    <x v="25"/>
    <x v="2"/>
    <x v="1"/>
  </r>
  <r>
    <x v="7"/>
    <x v="2"/>
    <x v="3"/>
  </r>
  <r>
    <x v="1"/>
    <x v="2"/>
    <x v="1"/>
  </r>
  <r>
    <x v="3"/>
    <x v="2"/>
    <x v="1"/>
  </r>
  <r>
    <x v="11"/>
    <x v="2"/>
    <x v="3"/>
  </r>
  <r>
    <x v="23"/>
    <x v="2"/>
    <x v="3"/>
  </r>
  <r>
    <x v="25"/>
    <x v="2"/>
    <x v="3"/>
  </r>
  <r>
    <x v="0"/>
    <x v="2"/>
    <x v="1"/>
  </r>
  <r>
    <x v="25"/>
    <x v="2"/>
    <x v="3"/>
  </r>
  <r>
    <x v="0"/>
    <x v="2"/>
    <x v="4"/>
  </r>
  <r>
    <x v="5"/>
    <x v="2"/>
    <x v="5"/>
  </r>
  <r>
    <x v="0"/>
    <x v="2"/>
    <x v="4"/>
  </r>
  <r>
    <x v="5"/>
    <x v="2"/>
    <x v="5"/>
  </r>
  <r>
    <x v="19"/>
    <x v="3"/>
    <x v="10"/>
  </r>
  <r>
    <x v="32"/>
    <x v="3"/>
    <x v="10"/>
  </r>
  <r>
    <x v="38"/>
    <x v="3"/>
    <x v="10"/>
  </r>
  <r>
    <x v="0"/>
    <x v="3"/>
    <x v="0"/>
  </r>
  <r>
    <x v="1"/>
    <x v="3"/>
    <x v="3"/>
  </r>
  <r>
    <x v="21"/>
    <x v="3"/>
    <x v="0"/>
  </r>
  <r>
    <x v="10"/>
    <x v="3"/>
    <x v="0"/>
  </r>
  <r>
    <x v="6"/>
    <x v="3"/>
    <x v="0"/>
  </r>
  <r>
    <x v="16"/>
    <x v="3"/>
    <x v="0"/>
  </r>
  <r>
    <x v="17"/>
    <x v="3"/>
    <x v="10"/>
  </r>
  <r>
    <x v="12"/>
    <x v="3"/>
    <x v="10"/>
  </r>
  <r>
    <x v="31"/>
    <x v="3"/>
    <x v="5"/>
  </r>
  <r>
    <x v="36"/>
    <x v="3"/>
    <x v="0"/>
  </r>
  <r>
    <x v="1"/>
    <x v="3"/>
    <x v="3"/>
  </r>
  <r>
    <x v="10"/>
    <x v="3"/>
    <x v="3"/>
  </r>
  <r>
    <x v="16"/>
    <x v="3"/>
    <x v="3"/>
  </r>
  <r>
    <x v="17"/>
    <x v="3"/>
    <x v="40"/>
  </r>
  <r>
    <x v="23"/>
    <x v="3"/>
    <x v="3"/>
  </r>
  <r>
    <x v="25"/>
    <x v="3"/>
    <x v="3"/>
  </r>
  <r>
    <x v="40"/>
    <x v="3"/>
    <x v="35"/>
  </r>
  <r>
    <x v="18"/>
    <x v="3"/>
    <x v="3"/>
  </r>
  <r>
    <x v="15"/>
    <x v="3"/>
    <x v="16"/>
  </r>
  <r>
    <x v="5"/>
    <x v="3"/>
    <x v="6"/>
  </r>
  <r>
    <x v="7"/>
    <x v="3"/>
    <x v="6"/>
  </r>
  <r>
    <x v="8"/>
    <x v="3"/>
    <x v="2"/>
  </r>
  <r>
    <x v="9"/>
    <x v="3"/>
    <x v="41"/>
  </r>
  <r>
    <x v="1"/>
    <x v="3"/>
    <x v="6"/>
  </r>
  <r>
    <x v="6"/>
    <x v="3"/>
    <x v="1"/>
  </r>
  <r>
    <x v="3"/>
    <x v="3"/>
    <x v="1"/>
  </r>
  <r>
    <x v="25"/>
    <x v="3"/>
    <x v="1"/>
  </r>
  <r>
    <x v="12"/>
    <x v="3"/>
    <x v="5"/>
  </r>
  <r>
    <x v="19"/>
    <x v="3"/>
    <x v="16"/>
  </r>
  <r>
    <x v="15"/>
    <x v="3"/>
    <x v="16"/>
  </r>
  <r>
    <x v="13"/>
    <x v="3"/>
    <x v="6"/>
  </r>
  <r>
    <x v="7"/>
    <x v="3"/>
    <x v="0"/>
  </r>
  <r>
    <x v="4"/>
    <x v="3"/>
    <x v="12"/>
  </r>
  <r>
    <x v="16"/>
    <x v="3"/>
    <x v="3"/>
  </r>
  <r>
    <x v="7"/>
    <x v="3"/>
    <x v="1"/>
  </r>
  <r>
    <x v="8"/>
    <x v="3"/>
    <x v="12"/>
  </r>
  <r>
    <x v="0"/>
    <x v="3"/>
    <x v="25"/>
  </r>
  <r>
    <x v="32"/>
    <x v="3"/>
    <x v="8"/>
  </r>
  <r>
    <x v="41"/>
    <x v="3"/>
    <x v="18"/>
  </r>
  <r>
    <x v="38"/>
    <x v="3"/>
    <x v="2"/>
  </r>
  <r>
    <x v="0"/>
    <x v="3"/>
    <x v="2"/>
  </r>
  <r>
    <x v="1"/>
    <x v="3"/>
    <x v="3"/>
  </r>
  <r>
    <x v="16"/>
    <x v="3"/>
    <x v="3"/>
  </r>
  <r>
    <x v="28"/>
    <x v="3"/>
    <x v="16"/>
  </r>
  <r>
    <x v="38"/>
    <x v="3"/>
    <x v="10"/>
  </r>
  <r>
    <x v="0"/>
    <x v="3"/>
    <x v="9"/>
  </r>
  <r>
    <x v="14"/>
    <x v="3"/>
    <x v="2"/>
  </r>
  <r>
    <x v="1"/>
    <x v="3"/>
    <x v="0"/>
  </r>
  <r>
    <x v="10"/>
    <x v="3"/>
    <x v="1"/>
  </r>
  <r>
    <x v="28"/>
    <x v="3"/>
    <x v="11"/>
  </r>
  <r>
    <x v="25"/>
    <x v="3"/>
    <x v="3"/>
  </r>
  <r>
    <x v="19"/>
    <x v="3"/>
    <x v="42"/>
  </r>
  <r>
    <x v="22"/>
    <x v="3"/>
    <x v="16"/>
  </r>
  <r>
    <x v="39"/>
    <x v="3"/>
    <x v="10"/>
  </r>
  <r>
    <x v="42"/>
    <x v="3"/>
    <x v="6"/>
  </r>
  <r>
    <x v="1"/>
    <x v="3"/>
    <x v="1"/>
  </r>
  <r>
    <x v="21"/>
    <x v="3"/>
    <x v="1"/>
  </r>
  <r>
    <x v="10"/>
    <x v="3"/>
    <x v="3"/>
  </r>
  <r>
    <x v="17"/>
    <x v="3"/>
    <x v="10"/>
  </r>
  <r>
    <x v="25"/>
    <x v="3"/>
    <x v="1"/>
  </r>
  <r>
    <x v="19"/>
    <x v="3"/>
    <x v="43"/>
  </r>
  <r>
    <x v="34"/>
    <x v="3"/>
    <x v="10"/>
  </r>
  <r>
    <x v="13"/>
    <x v="3"/>
    <x v="10"/>
  </r>
  <r>
    <x v="5"/>
    <x v="3"/>
    <x v="3"/>
  </r>
  <r>
    <x v="8"/>
    <x v="3"/>
    <x v="3"/>
  </r>
  <r>
    <x v="0"/>
    <x v="3"/>
    <x v="12"/>
  </r>
  <r>
    <x v="21"/>
    <x v="3"/>
    <x v="12"/>
  </r>
  <r>
    <x v="16"/>
    <x v="3"/>
    <x v="1"/>
  </r>
  <r>
    <x v="17"/>
    <x v="3"/>
    <x v="11"/>
  </r>
  <r>
    <x v="11"/>
    <x v="3"/>
    <x v="6"/>
  </r>
  <r>
    <x v="23"/>
    <x v="3"/>
    <x v="3"/>
  </r>
  <r>
    <x v="32"/>
    <x v="3"/>
    <x v="16"/>
  </r>
  <r>
    <x v="38"/>
    <x v="3"/>
    <x v="4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
  <r>
    <x v="0"/>
    <x v="0"/>
    <x v="0"/>
    <x v="0"/>
  </r>
  <r>
    <x v="0"/>
    <x v="1"/>
    <x v="0"/>
    <x v="1"/>
  </r>
  <r>
    <x v="0"/>
    <x v="2"/>
    <x v="0"/>
    <x v="2"/>
  </r>
  <r>
    <x v="0"/>
    <x v="3"/>
    <x v="0"/>
    <x v="0"/>
  </r>
  <r>
    <x v="0"/>
    <x v="4"/>
    <x v="0"/>
    <x v="1"/>
  </r>
  <r>
    <x v="1"/>
    <x v="5"/>
    <x v="0"/>
    <x v="0"/>
  </r>
  <r>
    <x v="2"/>
    <x v="0"/>
    <x v="0"/>
    <x v="3"/>
  </r>
  <r>
    <x v="3"/>
    <x v="0"/>
    <x v="0"/>
    <x v="4"/>
  </r>
  <r>
    <x v="3"/>
    <x v="5"/>
    <x v="0"/>
    <x v="5"/>
  </r>
  <r>
    <x v="4"/>
    <x v="1"/>
    <x v="0"/>
    <x v="3"/>
  </r>
  <r>
    <x v="4"/>
    <x v="6"/>
    <x v="0"/>
    <x v="6"/>
  </r>
  <r>
    <x v="4"/>
    <x v="5"/>
    <x v="0"/>
    <x v="1"/>
  </r>
  <r>
    <x v="4"/>
    <x v="7"/>
    <x v="0"/>
    <x v="3"/>
  </r>
  <r>
    <x v="4"/>
    <x v="8"/>
    <x v="0"/>
    <x v="1"/>
  </r>
  <r>
    <x v="4"/>
    <x v="9"/>
    <x v="0"/>
    <x v="7"/>
  </r>
  <r>
    <x v="5"/>
    <x v="0"/>
    <x v="0"/>
    <x v="5"/>
  </r>
  <r>
    <x v="5"/>
    <x v="10"/>
    <x v="0"/>
    <x v="3"/>
  </r>
  <r>
    <x v="5"/>
    <x v="11"/>
    <x v="0"/>
    <x v="8"/>
  </r>
  <r>
    <x v="5"/>
    <x v="12"/>
    <x v="0"/>
    <x v="9"/>
  </r>
  <r>
    <x v="5"/>
    <x v="13"/>
    <x v="0"/>
    <x v="9"/>
  </r>
  <r>
    <x v="5"/>
    <x v="8"/>
    <x v="0"/>
    <x v="10"/>
  </r>
  <r>
    <x v="5"/>
    <x v="14"/>
    <x v="0"/>
    <x v="0"/>
  </r>
  <r>
    <x v="5"/>
    <x v="1"/>
    <x v="0"/>
    <x v="3"/>
  </r>
  <r>
    <x v="5"/>
    <x v="3"/>
    <x v="0"/>
    <x v="3"/>
  </r>
  <r>
    <x v="5"/>
    <x v="11"/>
    <x v="0"/>
    <x v="11"/>
  </r>
  <r>
    <x v="5"/>
    <x v="15"/>
    <x v="0"/>
    <x v="1"/>
  </r>
  <r>
    <x v="5"/>
    <x v="7"/>
    <x v="0"/>
    <x v="3"/>
  </r>
  <r>
    <x v="6"/>
    <x v="0"/>
    <x v="0"/>
    <x v="4"/>
  </r>
  <r>
    <x v="7"/>
    <x v="0"/>
    <x v="0"/>
    <x v="4"/>
  </r>
  <r>
    <x v="8"/>
    <x v="0"/>
    <x v="1"/>
    <x v="10"/>
  </r>
  <r>
    <x v="8"/>
    <x v="1"/>
    <x v="1"/>
    <x v="12"/>
  </r>
  <r>
    <x v="8"/>
    <x v="16"/>
    <x v="1"/>
    <x v="0"/>
  </r>
  <r>
    <x v="8"/>
    <x v="3"/>
    <x v="1"/>
    <x v="3"/>
  </r>
  <r>
    <x v="8"/>
    <x v="11"/>
    <x v="1"/>
    <x v="3"/>
  </r>
  <r>
    <x v="8"/>
    <x v="0"/>
    <x v="1"/>
    <x v="13"/>
  </r>
  <r>
    <x v="9"/>
    <x v="0"/>
    <x v="1"/>
    <x v="0"/>
  </r>
  <r>
    <x v="9"/>
    <x v="1"/>
    <x v="1"/>
    <x v="3"/>
  </r>
  <r>
    <x v="9"/>
    <x v="10"/>
    <x v="1"/>
    <x v="3"/>
  </r>
  <r>
    <x v="9"/>
    <x v="16"/>
    <x v="1"/>
    <x v="3"/>
  </r>
  <r>
    <x v="9"/>
    <x v="17"/>
    <x v="1"/>
    <x v="0"/>
  </r>
  <r>
    <x v="9"/>
    <x v="3"/>
    <x v="1"/>
    <x v="1"/>
  </r>
  <r>
    <x v="9"/>
    <x v="18"/>
    <x v="1"/>
    <x v="1"/>
  </r>
  <r>
    <x v="9"/>
    <x v="12"/>
    <x v="1"/>
    <x v="0"/>
  </r>
  <r>
    <x v="9"/>
    <x v="19"/>
    <x v="1"/>
    <x v="14"/>
  </r>
  <r>
    <x v="9"/>
    <x v="15"/>
    <x v="1"/>
    <x v="6"/>
  </r>
  <r>
    <x v="9"/>
    <x v="5"/>
    <x v="1"/>
    <x v="3"/>
  </r>
  <r>
    <x v="9"/>
    <x v="7"/>
    <x v="1"/>
    <x v="3"/>
  </r>
  <r>
    <x v="9"/>
    <x v="8"/>
    <x v="1"/>
    <x v="3"/>
  </r>
  <r>
    <x v="9"/>
    <x v="20"/>
    <x v="1"/>
    <x v="0"/>
  </r>
  <r>
    <x v="9"/>
    <x v="19"/>
    <x v="1"/>
    <x v="15"/>
  </r>
  <r>
    <x v="10"/>
    <x v="0"/>
    <x v="1"/>
    <x v="16"/>
  </r>
  <r>
    <x v="11"/>
    <x v="0"/>
    <x v="1"/>
    <x v="4"/>
  </r>
  <r>
    <x v="11"/>
    <x v="5"/>
    <x v="1"/>
    <x v="5"/>
  </r>
  <r>
    <x v="12"/>
    <x v="0"/>
    <x v="1"/>
    <x v="17"/>
  </r>
  <r>
    <x v="12"/>
    <x v="21"/>
    <x v="1"/>
    <x v="8"/>
  </r>
  <r>
    <x v="12"/>
    <x v="3"/>
    <x v="1"/>
    <x v="3"/>
  </r>
  <r>
    <x v="13"/>
    <x v="0"/>
    <x v="1"/>
    <x v="18"/>
  </r>
  <r>
    <x v="13"/>
    <x v="1"/>
    <x v="1"/>
    <x v="5"/>
  </r>
  <r>
    <x v="13"/>
    <x v="16"/>
    <x v="1"/>
    <x v="3"/>
  </r>
  <r>
    <x v="13"/>
    <x v="3"/>
    <x v="1"/>
    <x v="3"/>
  </r>
  <r>
    <x v="13"/>
    <x v="9"/>
    <x v="1"/>
    <x v="19"/>
  </r>
  <r>
    <x v="14"/>
    <x v="16"/>
    <x v="1"/>
    <x v="3"/>
  </r>
  <r>
    <x v="14"/>
    <x v="11"/>
    <x v="1"/>
    <x v="3"/>
  </r>
  <r>
    <x v="14"/>
    <x v="22"/>
    <x v="1"/>
    <x v="20"/>
  </r>
  <r>
    <x v="15"/>
    <x v="0"/>
    <x v="1"/>
    <x v="16"/>
  </r>
  <r>
    <x v="15"/>
    <x v="1"/>
    <x v="1"/>
    <x v="5"/>
  </r>
  <r>
    <x v="15"/>
    <x v="6"/>
    <x v="1"/>
    <x v="1"/>
  </r>
  <r>
    <x v="15"/>
    <x v="3"/>
    <x v="1"/>
    <x v="1"/>
  </r>
  <r>
    <x v="15"/>
    <x v="9"/>
    <x v="1"/>
    <x v="16"/>
  </r>
  <r>
    <x v="16"/>
    <x v="0"/>
    <x v="1"/>
    <x v="0"/>
  </r>
  <r>
    <x v="16"/>
    <x v="6"/>
    <x v="1"/>
    <x v="0"/>
  </r>
  <r>
    <x v="16"/>
    <x v="3"/>
    <x v="1"/>
    <x v="21"/>
  </r>
  <r>
    <x v="16"/>
    <x v="11"/>
    <x v="1"/>
    <x v="16"/>
  </r>
  <r>
    <x v="16"/>
    <x v="9"/>
    <x v="1"/>
    <x v="22"/>
  </r>
  <r>
    <x v="17"/>
    <x v="0"/>
    <x v="1"/>
    <x v="21"/>
  </r>
  <r>
    <x v="17"/>
    <x v="6"/>
    <x v="1"/>
    <x v="12"/>
  </r>
  <r>
    <x v="17"/>
    <x v="9"/>
    <x v="1"/>
    <x v="23"/>
  </r>
  <r>
    <x v="18"/>
    <x v="1"/>
    <x v="1"/>
    <x v="1"/>
  </r>
  <r>
    <x v="18"/>
    <x v="10"/>
    <x v="1"/>
    <x v="3"/>
  </r>
  <r>
    <x v="18"/>
    <x v="6"/>
    <x v="1"/>
    <x v="3"/>
  </r>
  <r>
    <x v="18"/>
    <x v="23"/>
    <x v="1"/>
    <x v="3"/>
  </r>
  <r>
    <x v="19"/>
    <x v="0"/>
    <x v="1"/>
    <x v="4"/>
  </r>
  <r>
    <x v="19"/>
    <x v="5"/>
    <x v="1"/>
    <x v="5"/>
  </r>
  <r>
    <x v="20"/>
    <x v="6"/>
    <x v="1"/>
    <x v="1"/>
  </r>
  <r>
    <x v="20"/>
    <x v="3"/>
    <x v="1"/>
    <x v="1"/>
  </r>
  <r>
    <x v="20"/>
    <x v="24"/>
    <x v="1"/>
    <x v="3"/>
  </r>
  <r>
    <x v="21"/>
    <x v="1"/>
    <x v="1"/>
    <x v="1"/>
  </r>
  <r>
    <x v="21"/>
    <x v="16"/>
    <x v="1"/>
    <x v="0"/>
  </r>
  <r>
    <x v="21"/>
    <x v="3"/>
    <x v="1"/>
    <x v="1"/>
  </r>
  <r>
    <x v="21"/>
    <x v="19"/>
    <x v="1"/>
    <x v="24"/>
  </r>
  <r>
    <x v="21"/>
    <x v="4"/>
    <x v="1"/>
    <x v="3"/>
  </r>
  <r>
    <x v="22"/>
    <x v="0"/>
    <x v="1"/>
    <x v="12"/>
  </r>
  <r>
    <x v="22"/>
    <x v="6"/>
    <x v="1"/>
    <x v="3"/>
  </r>
  <r>
    <x v="22"/>
    <x v="3"/>
    <x v="1"/>
    <x v="12"/>
  </r>
  <r>
    <x v="22"/>
    <x v="25"/>
    <x v="1"/>
    <x v="5"/>
  </r>
  <r>
    <x v="22"/>
    <x v="5"/>
    <x v="1"/>
    <x v="0"/>
  </r>
  <r>
    <x v="23"/>
    <x v="0"/>
    <x v="1"/>
    <x v="25"/>
  </r>
  <r>
    <x v="23"/>
    <x v="26"/>
    <x v="1"/>
    <x v="1"/>
  </r>
  <r>
    <x v="23"/>
    <x v="10"/>
    <x v="1"/>
    <x v="3"/>
  </r>
  <r>
    <x v="23"/>
    <x v="27"/>
    <x v="1"/>
    <x v="1"/>
  </r>
  <r>
    <x v="23"/>
    <x v="28"/>
    <x v="1"/>
    <x v="2"/>
  </r>
  <r>
    <x v="23"/>
    <x v="11"/>
    <x v="1"/>
    <x v="3"/>
  </r>
  <r>
    <x v="23"/>
    <x v="5"/>
    <x v="1"/>
    <x v="1"/>
  </r>
  <r>
    <x v="23"/>
    <x v="9"/>
    <x v="1"/>
    <x v="3"/>
  </r>
  <r>
    <x v="24"/>
    <x v="0"/>
    <x v="1"/>
    <x v="26"/>
  </r>
  <r>
    <x v="24"/>
    <x v="29"/>
    <x v="1"/>
    <x v="8"/>
  </r>
  <r>
    <x v="24"/>
    <x v="3"/>
    <x v="1"/>
    <x v="1"/>
  </r>
  <r>
    <x v="24"/>
    <x v="11"/>
    <x v="1"/>
    <x v="1"/>
  </r>
  <r>
    <x v="24"/>
    <x v="13"/>
    <x v="1"/>
    <x v="12"/>
  </r>
  <r>
    <x v="24"/>
    <x v="8"/>
    <x v="1"/>
    <x v="5"/>
  </r>
  <r>
    <x v="25"/>
    <x v="14"/>
    <x v="1"/>
    <x v="1"/>
  </r>
  <r>
    <x v="25"/>
    <x v="1"/>
    <x v="1"/>
    <x v="1"/>
  </r>
  <r>
    <x v="25"/>
    <x v="30"/>
    <x v="1"/>
    <x v="27"/>
  </r>
  <r>
    <x v="25"/>
    <x v="31"/>
    <x v="1"/>
    <x v="1"/>
  </r>
  <r>
    <x v="25"/>
    <x v="19"/>
    <x v="1"/>
    <x v="14"/>
  </r>
  <r>
    <x v="25"/>
    <x v="15"/>
    <x v="1"/>
    <x v="8"/>
  </r>
  <r>
    <x v="25"/>
    <x v="13"/>
    <x v="1"/>
    <x v="14"/>
  </r>
  <r>
    <x v="26"/>
    <x v="0"/>
    <x v="2"/>
    <x v="10"/>
  </r>
  <r>
    <x v="26"/>
    <x v="0"/>
    <x v="1"/>
    <x v="28"/>
  </r>
  <r>
    <x v="27"/>
    <x v="0"/>
    <x v="2"/>
    <x v="4"/>
  </r>
  <r>
    <x v="27"/>
    <x v="5"/>
    <x v="2"/>
    <x v="5"/>
  </r>
  <r>
    <x v="28"/>
    <x v="6"/>
    <x v="2"/>
    <x v="3"/>
  </r>
  <r>
    <x v="28"/>
    <x v="16"/>
    <x v="2"/>
    <x v="6"/>
  </r>
  <r>
    <x v="28"/>
    <x v="11"/>
    <x v="2"/>
    <x v="6"/>
  </r>
  <r>
    <x v="28"/>
    <x v="32"/>
    <x v="2"/>
    <x v="1"/>
  </r>
  <r>
    <x v="29"/>
    <x v="0"/>
    <x v="2"/>
    <x v="11"/>
  </r>
  <r>
    <x v="29"/>
    <x v="1"/>
    <x v="2"/>
    <x v="2"/>
  </r>
  <r>
    <x v="29"/>
    <x v="21"/>
    <x v="2"/>
    <x v="8"/>
  </r>
  <r>
    <x v="29"/>
    <x v="33"/>
    <x v="2"/>
    <x v="2"/>
  </r>
  <r>
    <x v="29"/>
    <x v="10"/>
    <x v="2"/>
    <x v="12"/>
  </r>
  <r>
    <x v="29"/>
    <x v="19"/>
    <x v="2"/>
    <x v="29"/>
  </r>
  <r>
    <x v="29"/>
    <x v="34"/>
    <x v="2"/>
    <x v="9"/>
  </r>
  <r>
    <x v="29"/>
    <x v="15"/>
    <x v="2"/>
    <x v="5"/>
  </r>
  <r>
    <x v="29"/>
    <x v="8"/>
    <x v="2"/>
    <x v="30"/>
  </r>
  <r>
    <x v="29"/>
    <x v="0"/>
    <x v="2"/>
    <x v="25"/>
  </r>
  <r>
    <x v="29"/>
    <x v="21"/>
    <x v="2"/>
    <x v="8"/>
  </r>
  <r>
    <x v="29"/>
    <x v="26"/>
    <x v="2"/>
    <x v="2"/>
  </r>
  <r>
    <x v="29"/>
    <x v="10"/>
    <x v="2"/>
    <x v="12"/>
  </r>
  <r>
    <x v="29"/>
    <x v="19"/>
    <x v="2"/>
    <x v="29"/>
  </r>
  <r>
    <x v="29"/>
    <x v="34"/>
    <x v="2"/>
    <x v="9"/>
  </r>
  <r>
    <x v="29"/>
    <x v="15"/>
    <x v="2"/>
    <x v="5"/>
  </r>
  <r>
    <x v="29"/>
    <x v="8"/>
    <x v="2"/>
    <x v="30"/>
  </r>
  <r>
    <x v="30"/>
    <x v="0"/>
    <x v="2"/>
    <x v="3"/>
  </r>
  <r>
    <x v="30"/>
    <x v="1"/>
    <x v="2"/>
    <x v="3"/>
  </r>
  <r>
    <x v="30"/>
    <x v="25"/>
    <x v="2"/>
    <x v="3"/>
  </r>
  <r>
    <x v="30"/>
    <x v="15"/>
    <x v="2"/>
    <x v="10"/>
  </r>
  <r>
    <x v="30"/>
    <x v="0"/>
    <x v="2"/>
    <x v="3"/>
  </r>
  <r>
    <x v="30"/>
    <x v="1"/>
    <x v="2"/>
    <x v="3"/>
  </r>
  <r>
    <x v="31"/>
    <x v="0"/>
    <x v="2"/>
    <x v="12"/>
  </r>
  <r>
    <x v="31"/>
    <x v="1"/>
    <x v="2"/>
    <x v="3"/>
  </r>
  <r>
    <x v="31"/>
    <x v="21"/>
    <x v="2"/>
    <x v="6"/>
  </r>
  <r>
    <x v="31"/>
    <x v="10"/>
    <x v="2"/>
    <x v="3"/>
  </r>
  <r>
    <x v="31"/>
    <x v="6"/>
    <x v="2"/>
    <x v="3"/>
  </r>
  <r>
    <x v="31"/>
    <x v="35"/>
    <x v="2"/>
    <x v="1"/>
  </r>
  <r>
    <x v="31"/>
    <x v="19"/>
    <x v="2"/>
    <x v="31"/>
  </r>
  <r>
    <x v="31"/>
    <x v="15"/>
    <x v="2"/>
    <x v="0"/>
  </r>
  <r>
    <x v="31"/>
    <x v="1"/>
    <x v="2"/>
    <x v="1"/>
  </r>
  <r>
    <x v="31"/>
    <x v="21"/>
    <x v="2"/>
    <x v="12"/>
  </r>
  <r>
    <x v="31"/>
    <x v="10"/>
    <x v="2"/>
    <x v="0"/>
  </r>
  <r>
    <x v="31"/>
    <x v="35"/>
    <x v="2"/>
    <x v="5"/>
  </r>
  <r>
    <x v="31"/>
    <x v="19"/>
    <x v="2"/>
    <x v="32"/>
  </r>
  <r>
    <x v="31"/>
    <x v="15"/>
    <x v="2"/>
    <x v="0"/>
  </r>
  <r>
    <x v="32"/>
    <x v="21"/>
    <x v="2"/>
    <x v="13"/>
  </r>
  <r>
    <x v="32"/>
    <x v="23"/>
    <x v="2"/>
    <x v="1"/>
  </r>
  <r>
    <x v="32"/>
    <x v="19"/>
    <x v="2"/>
    <x v="33"/>
  </r>
  <r>
    <x v="32"/>
    <x v="4"/>
    <x v="2"/>
    <x v="3"/>
  </r>
  <r>
    <x v="32"/>
    <x v="36"/>
    <x v="2"/>
    <x v="3"/>
  </r>
  <r>
    <x v="32"/>
    <x v="19"/>
    <x v="2"/>
    <x v="33"/>
  </r>
  <r>
    <x v="33"/>
    <x v="21"/>
    <x v="2"/>
    <x v="13"/>
  </r>
  <r>
    <x v="34"/>
    <x v="0"/>
    <x v="2"/>
    <x v="16"/>
  </r>
  <r>
    <x v="34"/>
    <x v="1"/>
    <x v="2"/>
    <x v="3"/>
  </r>
  <r>
    <x v="34"/>
    <x v="6"/>
    <x v="2"/>
    <x v="1"/>
  </r>
  <r>
    <x v="34"/>
    <x v="3"/>
    <x v="2"/>
    <x v="10"/>
  </r>
  <r>
    <x v="35"/>
    <x v="12"/>
    <x v="2"/>
    <x v="10"/>
  </r>
  <r>
    <x v="35"/>
    <x v="31"/>
    <x v="2"/>
    <x v="1"/>
  </r>
  <r>
    <x v="35"/>
    <x v="13"/>
    <x v="2"/>
    <x v="10"/>
  </r>
  <r>
    <x v="35"/>
    <x v="5"/>
    <x v="2"/>
    <x v="10"/>
  </r>
  <r>
    <x v="35"/>
    <x v="5"/>
    <x v="2"/>
    <x v="1"/>
  </r>
  <r>
    <x v="35"/>
    <x v="8"/>
    <x v="2"/>
    <x v="3"/>
  </r>
  <r>
    <x v="36"/>
    <x v="0"/>
    <x v="2"/>
    <x v="10"/>
  </r>
  <r>
    <x v="36"/>
    <x v="10"/>
    <x v="2"/>
    <x v="6"/>
  </r>
  <r>
    <x v="36"/>
    <x v="28"/>
    <x v="2"/>
    <x v="10"/>
  </r>
  <r>
    <x v="36"/>
    <x v="25"/>
    <x v="2"/>
    <x v="5"/>
  </r>
  <r>
    <x v="36"/>
    <x v="19"/>
    <x v="2"/>
    <x v="34"/>
  </r>
  <r>
    <x v="36"/>
    <x v="22"/>
    <x v="2"/>
    <x v="17"/>
  </r>
  <r>
    <x v="36"/>
    <x v="15"/>
    <x v="2"/>
    <x v="16"/>
  </r>
  <r>
    <x v="36"/>
    <x v="0"/>
    <x v="2"/>
    <x v="35"/>
  </r>
  <r>
    <x v="36"/>
    <x v="10"/>
    <x v="2"/>
    <x v="6"/>
  </r>
  <r>
    <x v="36"/>
    <x v="28"/>
    <x v="2"/>
    <x v="13"/>
  </r>
  <r>
    <x v="36"/>
    <x v="25"/>
    <x v="2"/>
    <x v="5"/>
  </r>
  <r>
    <x v="36"/>
    <x v="19"/>
    <x v="2"/>
    <x v="34"/>
  </r>
  <r>
    <x v="36"/>
    <x v="22"/>
    <x v="2"/>
    <x v="15"/>
  </r>
  <r>
    <x v="36"/>
    <x v="15"/>
    <x v="2"/>
    <x v="16"/>
  </r>
  <r>
    <x v="37"/>
    <x v="11"/>
    <x v="2"/>
    <x v="3"/>
  </r>
  <r>
    <x v="37"/>
    <x v="23"/>
    <x v="2"/>
    <x v="3"/>
  </r>
  <r>
    <x v="37"/>
    <x v="25"/>
    <x v="2"/>
    <x v="3"/>
  </r>
  <r>
    <x v="37"/>
    <x v="31"/>
    <x v="2"/>
    <x v="5"/>
  </r>
  <r>
    <x v="37"/>
    <x v="37"/>
    <x v="2"/>
    <x v="1"/>
  </r>
  <r>
    <x v="37"/>
    <x v="19"/>
    <x v="2"/>
    <x v="36"/>
  </r>
  <r>
    <x v="37"/>
    <x v="15"/>
    <x v="2"/>
    <x v="30"/>
  </r>
  <r>
    <x v="37"/>
    <x v="38"/>
    <x v="2"/>
    <x v="37"/>
  </r>
  <r>
    <x v="38"/>
    <x v="0"/>
    <x v="2"/>
    <x v="10"/>
  </r>
  <r>
    <x v="38"/>
    <x v="6"/>
    <x v="2"/>
    <x v="10"/>
  </r>
  <r>
    <x v="38"/>
    <x v="1"/>
    <x v="2"/>
    <x v="30"/>
  </r>
  <r>
    <x v="38"/>
    <x v="34"/>
    <x v="2"/>
    <x v="29"/>
  </r>
  <r>
    <x v="39"/>
    <x v="0"/>
    <x v="2"/>
    <x v="10"/>
  </r>
  <r>
    <x v="39"/>
    <x v="14"/>
    <x v="2"/>
    <x v="10"/>
  </r>
  <r>
    <x v="39"/>
    <x v="1"/>
    <x v="2"/>
    <x v="10"/>
  </r>
  <r>
    <x v="39"/>
    <x v="21"/>
    <x v="2"/>
    <x v="10"/>
  </r>
  <r>
    <x v="39"/>
    <x v="6"/>
    <x v="2"/>
    <x v="10"/>
  </r>
  <r>
    <x v="39"/>
    <x v="16"/>
    <x v="2"/>
    <x v="10"/>
  </r>
  <r>
    <x v="39"/>
    <x v="30"/>
    <x v="2"/>
    <x v="10"/>
  </r>
  <r>
    <x v="39"/>
    <x v="3"/>
    <x v="2"/>
    <x v="30"/>
  </r>
  <r>
    <x v="39"/>
    <x v="11"/>
    <x v="2"/>
    <x v="27"/>
  </r>
  <r>
    <x v="39"/>
    <x v="23"/>
    <x v="2"/>
    <x v="3"/>
  </r>
  <r>
    <x v="39"/>
    <x v="35"/>
    <x v="2"/>
    <x v="10"/>
  </r>
  <r>
    <x v="39"/>
    <x v="9"/>
    <x v="2"/>
    <x v="10"/>
  </r>
  <r>
    <x v="39"/>
    <x v="39"/>
    <x v="2"/>
    <x v="10"/>
  </r>
  <r>
    <x v="39"/>
    <x v="4"/>
    <x v="2"/>
    <x v="10"/>
  </r>
  <r>
    <x v="39"/>
    <x v="32"/>
    <x v="2"/>
    <x v="10"/>
  </r>
  <r>
    <x v="40"/>
    <x v="14"/>
    <x v="2"/>
    <x v="1"/>
  </r>
  <r>
    <x v="40"/>
    <x v="1"/>
    <x v="2"/>
    <x v="16"/>
  </r>
  <r>
    <x v="40"/>
    <x v="6"/>
    <x v="2"/>
    <x v="3"/>
  </r>
  <r>
    <x v="40"/>
    <x v="27"/>
    <x v="2"/>
    <x v="3"/>
  </r>
  <r>
    <x v="40"/>
    <x v="25"/>
    <x v="2"/>
    <x v="6"/>
  </r>
  <r>
    <x v="40"/>
    <x v="4"/>
    <x v="2"/>
    <x v="1"/>
  </r>
  <r>
    <x v="40"/>
    <x v="16"/>
    <x v="2"/>
    <x v="3"/>
  </r>
  <r>
    <x v="40"/>
    <x v="3"/>
    <x v="2"/>
    <x v="3"/>
  </r>
  <r>
    <x v="40"/>
    <x v="25"/>
    <x v="2"/>
    <x v="6"/>
  </r>
  <r>
    <x v="41"/>
    <x v="0"/>
    <x v="2"/>
    <x v="38"/>
  </r>
  <r>
    <x v="41"/>
    <x v="1"/>
    <x v="2"/>
    <x v="3"/>
  </r>
  <r>
    <x v="41"/>
    <x v="21"/>
    <x v="2"/>
    <x v="1"/>
  </r>
  <r>
    <x v="41"/>
    <x v="28"/>
    <x v="2"/>
    <x v="39"/>
  </r>
  <r>
    <x v="41"/>
    <x v="11"/>
    <x v="2"/>
    <x v="8"/>
  </r>
  <r>
    <x v="41"/>
    <x v="0"/>
    <x v="2"/>
    <x v="12"/>
  </r>
  <r>
    <x v="42"/>
    <x v="0"/>
    <x v="2"/>
    <x v="1"/>
  </r>
  <r>
    <x v="42"/>
    <x v="16"/>
    <x v="2"/>
    <x v="3"/>
  </r>
  <r>
    <x v="42"/>
    <x v="28"/>
    <x v="2"/>
    <x v="25"/>
  </r>
  <r>
    <x v="42"/>
    <x v="25"/>
    <x v="2"/>
    <x v="1"/>
  </r>
  <r>
    <x v="42"/>
    <x v="5"/>
    <x v="2"/>
    <x v="3"/>
  </r>
  <r>
    <x v="42"/>
    <x v="25"/>
    <x v="2"/>
    <x v="1"/>
  </r>
  <r>
    <x v="42"/>
    <x v="7"/>
    <x v="2"/>
    <x v="3"/>
  </r>
  <r>
    <x v="43"/>
    <x v="1"/>
    <x v="2"/>
    <x v="1"/>
  </r>
  <r>
    <x v="43"/>
    <x v="3"/>
    <x v="2"/>
    <x v="1"/>
  </r>
  <r>
    <x v="43"/>
    <x v="11"/>
    <x v="2"/>
    <x v="3"/>
  </r>
  <r>
    <x v="43"/>
    <x v="23"/>
    <x v="2"/>
    <x v="3"/>
  </r>
  <r>
    <x v="43"/>
    <x v="25"/>
    <x v="2"/>
    <x v="3"/>
  </r>
  <r>
    <x v="43"/>
    <x v="0"/>
    <x v="2"/>
    <x v="1"/>
  </r>
  <r>
    <x v="43"/>
    <x v="25"/>
    <x v="2"/>
    <x v="3"/>
  </r>
  <r>
    <x v="44"/>
    <x v="0"/>
    <x v="2"/>
    <x v="4"/>
  </r>
  <r>
    <x v="44"/>
    <x v="5"/>
    <x v="2"/>
    <x v="5"/>
  </r>
  <r>
    <x v="45"/>
    <x v="0"/>
    <x v="2"/>
    <x v="4"/>
  </r>
  <r>
    <x v="45"/>
    <x v="5"/>
    <x v="2"/>
    <x v="5"/>
  </r>
  <r>
    <x v="46"/>
    <x v="19"/>
    <x v="3"/>
    <x v="10"/>
  </r>
  <r>
    <x v="46"/>
    <x v="32"/>
    <x v="3"/>
    <x v="10"/>
  </r>
  <r>
    <x v="46"/>
    <x v="38"/>
    <x v="3"/>
    <x v="10"/>
  </r>
  <r>
    <x v="47"/>
    <x v="0"/>
    <x v="3"/>
    <x v="0"/>
  </r>
  <r>
    <x v="47"/>
    <x v="1"/>
    <x v="3"/>
    <x v="3"/>
  </r>
  <r>
    <x v="47"/>
    <x v="21"/>
    <x v="3"/>
    <x v="0"/>
  </r>
  <r>
    <x v="47"/>
    <x v="10"/>
    <x v="3"/>
    <x v="0"/>
  </r>
  <r>
    <x v="47"/>
    <x v="6"/>
    <x v="3"/>
    <x v="0"/>
  </r>
  <r>
    <x v="47"/>
    <x v="16"/>
    <x v="3"/>
    <x v="0"/>
  </r>
  <r>
    <x v="47"/>
    <x v="17"/>
    <x v="3"/>
    <x v="10"/>
  </r>
  <r>
    <x v="47"/>
    <x v="12"/>
    <x v="3"/>
    <x v="10"/>
  </r>
  <r>
    <x v="47"/>
    <x v="31"/>
    <x v="3"/>
    <x v="5"/>
  </r>
  <r>
    <x v="47"/>
    <x v="36"/>
    <x v="3"/>
    <x v="0"/>
  </r>
  <r>
    <x v="48"/>
    <x v="1"/>
    <x v="3"/>
    <x v="3"/>
  </r>
  <r>
    <x v="48"/>
    <x v="10"/>
    <x v="3"/>
    <x v="3"/>
  </r>
  <r>
    <x v="48"/>
    <x v="16"/>
    <x v="3"/>
    <x v="3"/>
  </r>
  <r>
    <x v="48"/>
    <x v="17"/>
    <x v="3"/>
    <x v="40"/>
  </r>
  <r>
    <x v="48"/>
    <x v="23"/>
    <x v="3"/>
    <x v="3"/>
  </r>
  <r>
    <x v="48"/>
    <x v="25"/>
    <x v="3"/>
    <x v="3"/>
  </r>
  <r>
    <x v="48"/>
    <x v="40"/>
    <x v="3"/>
    <x v="35"/>
  </r>
  <r>
    <x v="48"/>
    <x v="18"/>
    <x v="3"/>
    <x v="3"/>
  </r>
  <r>
    <x v="48"/>
    <x v="15"/>
    <x v="3"/>
    <x v="16"/>
  </r>
  <r>
    <x v="48"/>
    <x v="5"/>
    <x v="3"/>
    <x v="6"/>
  </r>
  <r>
    <x v="48"/>
    <x v="7"/>
    <x v="3"/>
    <x v="6"/>
  </r>
  <r>
    <x v="48"/>
    <x v="8"/>
    <x v="3"/>
    <x v="2"/>
  </r>
  <r>
    <x v="48"/>
    <x v="9"/>
    <x v="3"/>
    <x v="41"/>
  </r>
  <r>
    <x v="49"/>
    <x v="1"/>
    <x v="3"/>
    <x v="6"/>
  </r>
  <r>
    <x v="49"/>
    <x v="6"/>
    <x v="3"/>
    <x v="1"/>
  </r>
  <r>
    <x v="49"/>
    <x v="3"/>
    <x v="3"/>
    <x v="1"/>
  </r>
  <r>
    <x v="49"/>
    <x v="25"/>
    <x v="3"/>
    <x v="1"/>
  </r>
  <r>
    <x v="49"/>
    <x v="12"/>
    <x v="3"/>
    <x v="5"/>
  </r>
  <r>
    <x v="49"/>
    <x v="19"/>
    <x v="3"/>
    <x v="16"/>
  </r>
  <r>
    <x v="49"/>
    <x v="15"/>
    <x v="3"/>
    <x v="16"/>
  </r>
  <r>
    <x v="49"/>
    <x v="13"/>
    <x v="3"/>
    <x v="6"/>
  </r>
  <r>
    <x v="49"/>
    <x v="7"/>
    <x v="3"/>
    <x v="0"/>
  </r>
  <r>
    <x v="49"/>
    <x v="4"/>
    <x v="3"/>
    <x v="12"/>
  </r>
  <r>
    <x v="50"/>
    <x v="16"/>
    <x v="3"/>
    <x v="3"/>
  </r>
  <r>
    <x v="50"/>
    <x v="7"/>
    <x v="3"/>
    <x v="1"/>
  </r>
  <r>
    <x v="50"/>
    <x v="8"/>
    <x v="3"/>
    <x v="12"/>
  </r>
  <r>
    <x v="50"/>
    <x v="0"/>
    <x v="3"/>
    <x v="25"/>
  </r>
  <r>
    <x v="50"/>
    <x v="32"/>
    <x v="3"/>
    <x v="8"/>
  </r>
  <r>
    <x v="50"/>
    <x v="41"/>
    <x v="3"/>
    <x v="18"/>
  </r>
  <r>
    <x v="50"/>
    <x v="38"/>
    <x v="3"/>
    <x v="2"/>
  </r>
  <r>
    <x v="51"/>
    <x v="0"/>
    <x v="3"/>
    <x v="2"/>
  </r>
  <r>
    <x v="51"/>
    <x v="1"/>
    <x v="3"/>
    <x v="3"/>
  </r>
  <r>
    <x v="51"/>
    <x v="16"/>
    <x v="3"/>
    <x v="3"/>
  </r>
  <r>
    <x v="51"/>
    <x v="28"/>
    <x v="3"/>
    <x v="16"/>
  </r>
  <r>
    <x v="51"/>
    <x v="38"/>
    <x v="3"/>
    <x v="10"/>
  </r>
  <r>
    <x v="52"/>
    <x v="0"/>
    <x v="3"/>
    <x v="9"/>
  </r>
  <r>
    <x v="52"/>
    <x v="14"/>
    <x v="3"/>
    <x v="2"/>
  </r>
  <r>
    <x v="52"/>
    <x v="1"/>
    <x v="3"/>
    <x v="0"/>
  </r>
  <r>
    <x v="52"/>
    <x v="10"/>
    <x v="3"/>
    <x v="1"/>
  </r>
  <r>
    <x v="52"/>
    <x v="28"/>
    <x v="3"/>
    <x v="11"/>
  </r>
  <r>
    <x v="52"/>
    <x v="25"/>
    <x v="3"/>
    <x v="3"/>
  </r>
  <r>
    <x v="52"/>
    <x v="19"/>
    <x v="3"/>
    <x v="42"/>
  </r>
  <r>
    <x v="52"/>
    <x v="22"/>
    <x v="3"/>
    <x v="16"/>
  </r>
  <r>
    <x v="52"/>
    <x v="39"/>
    <x v="3"/>
    <x v="10"/>
  </r>
  <r>
    <x v="52"/>
    <x v="42"/>
    <x v="3"/>
    <x v="6"/>
  </r>
  <r>
    <x v="53"/>
    <x v="1"/>
    <x v="3"/>
    <x v="1"/>
  </r>
  <r>
    <x v="53"/>
    <x v="21"/>
    <x v="3"/>
    <x v="1"/>
  </r>
  <r>
    <x v="53"/>
    <x v="10"/>
    <x v="3"/>
    <x v="3"/>
  </r>
  <r>
    <x v="53"/>
    <x v="17"/>
    <x v="3"/>
    <x v="10"/>
  </r>
  <r>
    <x v="53"/>
    <x v="25"/>
    <x v="3"/>
    <x v="1"/>
  </r>
  <r>
    <x v="53"/>
    <x v="19"/>
    <x v="3"/>
    <x v="43"/>
  </r>
  <r>
    <x v="53"/>
    <x v="34"/>
    <x v="3"/>
    <x v="10"/>
  </r>
  <r>
    <x v="53"/>
    <x v="13"/>
    <x v="3"/>
    <x v="10"/>
  </r>
  <r>
    <x v="53"/>
    <x v="5"/>
    <x v="3"/>
    <x v="3"/>
  </r>
  <r>
    <x v="53"/>
    <x v="8"/>
    <x v="3"/>
    <x v="3"/>
  </r>
  <r>
    <x v="54"/>
    <x v="0"/>
    <x v="3"/>
    <x v="12"/>
  </r>
  <r>
    <x v="54"/>
    <x v="21"/>
    <x v="3"/>
    <x v="12"/>
  </r>
  <r>
    <x v="54"/>
    <x v="16"/>
    <x v="3"/>
    <x v="1"/>
  </r>
  <r>
    <x v="54"/>
    <x v="17"/>
    <x v="3"/>
    <x v="11"/>
  </r>
  <r>
    <x v="54"/>
    <x v="11"/>
    <x v="3"/>
    <x v="6"/>
  </r>
  <r>
    <x v="54"/>
    <x v="23"/>
    <x v="3"/>
    <x v="3"/>
  </r>
  <r>
    <x v="54"/>
    <x v="32"/>
    <x v="3"/>
    <x v="16"/>
  </r>
  <r>
    <x v="54"/>
    <x v="38"/>
    <x v="3"/>
    <x v="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D1C294-DA30-45AF-AC97-FDBDBF4DAE6E}"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1:K46" firstHeaderRow="1" firstDataRow="2" firstDataCol="1"/>
  <pivotFields count="4">
    <pivotField showAl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axis="axisRow" showAll="0">
      <items count="44">
        <item x="0"/>
        <item x="14"/>
        <item x="1"/>
        <item x="21"/>
        <item x="26"/>
        <item x="33"/>
        <item x="10"/>
        <item x="6"/>
        <item x="16"/>
        <item x="30"/>
        <item x="27"/>
        <item x="28"/>
        <item x="2"/>
        <item x="29"/>
        <item x="17"/>
        <item x="20"/>
        <item x="3"/>
        <item x="11"/>
        <item x="23"/>
        <item x="35"/>
        <item x="25"/>
        <item x="40"/>
        <item x="18"/>
        <item x="12"/>
        <item x="31"/>
        <item x="37"/>
        <item x="24"/>
        <item x="19"/>
        <item x="22"/>
        <item x="34"/>
        <item x="15"/>
        <item x="13"/>
        <item x="5"/>
        <item x="7"/>
        <item x="8"/>
        <item x="9"/>
        <item x="39"/>
        <item x="4"/>
        <item x="32"/>
        <item x="41"/>
        <item x="38"/>
        <item x="42"/>
        <item x="36"/>
        <item t="default"/>
      </items>
    </pivotField>
    <pivotField axis="axisCol" showAll="0">
      <items count="5">
        <item x="0"/>
        <item x="1"/>
        <item x="2"/>
        <item x="3"/>
        <item t="default"/>
      </items>
    </pivotField>
    <pivotField dataField="1" showAll="0">
      <items count="46">
        <item x="10"/>
        <item x="3"/>
        <item x="37"/>
        <item x="1"/>
        <item x="0"/>
        <item x="5"/>
        <item x="6"/>
        <item x="12"/>
        <item x="2"/>
        <item x="30"/>
        <item x="16"/>
        <item x="27"/>
        <item x="9"/>
        <item x="21"/>
        <item x="8"/>
        <item x="7"/>
        <item x="18"/>
        <item x="29"/>
        <item x="26"/>
        <item x="13"/>
        <item x="43"/>
        <item x="39"/>
        <item x="28"/>
        <item x="25"/>
        <item x="42"/>
        <item x="20"/>
        <item x="4"/>
        <item x="11"/>
        <item x="35"/>
        <item x="17"/>
        <item x="44"/>
        <item x="19"/>
        <item x="22"/>
        <item x="15"/>
        <item x="24"/>
        <item x="14"/>
        <item x="33"/>
        <item x="23"/>
        <item x="34"/>
        <item x="40"/>
        <item x="36"/>
        <item x="32"/>
        <item x="31"/>
        <item x="41"/>
        <item x="38"/>
        <item t="default"/>
      </items>
    </pivotField>
  </pivotFields>
  <rowFields count="1">
    <field x="1"/>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2"/>
  </colFields>
  <colItems count="5">
    <i>
      <x/>
    </i>
    <i>
      <x v="1"/>
    </i>
    <i>
      <x v="2"/>
    </i>
    <i>
      <x v="3"/>
    </i>
    <i t="grand">
      <x/>
    </i>
  </colItems>
  <dataFields count="1">
    <dataField name="Sum of Target" fld="3"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2D7B512-C948-40E9-BD1B-17C0A592971C}"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F46" firstHeaderRow="1" firstDataRow="2" firstDataCol="1"/>
  <pivotFields count="3">
    <pivotField axis="axisRow" showAll="0">
      <items count="44">
        <item x="0"/>
        <item x="14"/>
        <item x="1"/>
        <item x="21"/>
        <item x="26"/>
        <item x="33"/>
        <item x="10"/>
        <item x="6"/>
        <item x="16"/>
        <item x="30"/>
        <item x="27"/>
        <item x="28"/>
        <item x="2"/>
        <item x="29"/>
        <item x="17"/>
        <item x="20"/>
        <item x="3"/>
        <item x="11"/>
        <item x="23"/>
        <item x="35"/>
        <item x="25"/>
        <item x="40"/>
        <item x="18"/>
        <item x="12"/>
        <item x="31"/>
        <item x="37"/>
        <item x="24"/>
        <item x="19"/>
        <item x="22"/>
        <item x="34"/>
        <item x="15"/>
        <item x="13"/>
        <item x="5"/>
        <item x="7"/>
        <item x="8"/>
        <item x="9"/>
        <item x="39"/>
        <item x="4"/>
        <item x="32"/>
        <item x="41"/>
        <item x="38"/>
        <item x="42"/>
        <item x="36"/>
        <item t="default"/>
      </items>
    </pivotField>
    <pivotField axis="axisCol" showAll="0">
      <items count="5">
        <item x="0"/>
        <item x="1"/>
        <item x="2"/>
        <item x="3"/>
        <item t="default"/>
      </items>
    </pivotField>
    <pivotField dataField="1" showAll="0">
      <items count="46">
        <item x="10"/>
        <item x="3"/>
        <item x="37"/>
        <item x="1"/>
        <item x="0"/>
        <item x="5"/>
        <item x="6"/>
        <item x="12"/>
        <item x="2"/>
        <item x="30"/>
        <item x="16"/>
        <item x="27"/>
        <item x="9"/>
        <item x="21"/>
        <item x="8"/>
        <item x="7"/>
        <item x="18"/>
        <item x="29"/>
        <item x="26"/>
        <item x="13"/>
        <item x="43"/>
        <item x="39"/>
        <item x="28"/>
        <item x="25"/>
        <item x="42"/>
        <item x="20"/>
        <item x="4"/>
        <item x="11"/>
        <item x="35"/>
        <item x="17"/>
        <item x="44"/>
        <item x="19"/>
        <item x="22"/>
        <item x="15"/>
        <item x="24"/>
        <item x="14"/>
        <item x="33"/>
        <item x="23"/>
        <item x="34"/>
        <item x="40"/>
        <item x="36"/>
        <item x="32"/>
        <item x="31"/>
        <item x="41"/>
        <item x="38"/>
        <item t="default"/>
      </items>
    </pivotField>
  </pivotFields>
  <rowFields count="1">
    <field x="0"/>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1"/>
  </colFields>
  <colItems count="5">
    <i>
      <x/>
    </i>
    <i>
      <x v="1"/>
    </i>
    <i>
      <x v="2"/>
    </i>
    <i>
      <x v="3"/>
    </i>
    <i t="grand">
      <x/>
    </i>
  </colItems>
  <dataFields count="1">
    <dataField name="Sum of Target"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19E26A3-1CAF-491D-9C6D-2113F06EE40C}"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G64" firstHeaderRow="1" firstDataRow="2" firstDataCol="1"/>
  <pivotFields count="6">
    <pivotField dataField="1" showAl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axis="axisCol" showAll="0">
      <items count="6">
        <item x="0"/>
        <item x="1"/>
        <item x="2"/>
        <item x="3"/>
        <item x="4"/>
        <item t="default"/>
      </items>
    </pivotField>
    <pivotField showAll="0"/>
    <pivotField showAll="0"/>
    <pivotField axis="axisRow" showAll="0">
      <items count="62">
        <item x="0"/>
        <item x="55"/>
        <item x="33"/>
        <item x="1"/>
        <item x="40"/>
        <item x="18"/>
        <item x="59"/>
        <item x="34"/>
        <item x="23"/>
        <item x="9"/>
        <item x="39"/>
        <item x="5"/>
        <item x="14"/>
        <item x="41"/>
        <item x="26"/>
        <item x="36"/>
        <item x="24"/>
        <item x="56"/>
        <item x="2"/>
        <item x="25"/>
        <item x="15"/>
        <item x="42"/>
        <item x="3"/>
        <item x="51"/>
        <item x="10"/>
        <item x="20"/>
        <item x="43"/>
        <item x="28"/>
        <item x="22"/>
        <item x="37"/>
        <item x="44"/>
        <item x="16"/>
        <item x="45"/>
        <item x="11"/>
        <item x="52"/>
        <item x="31"/>
        <item x="17"/>
        <item x="38"/>
        <item x="19"/>
        <item x="21"/>
        <item x="60"/>
        <item x="12"/>
        <item x="46"/>
        <item x="13"/>
        <item x="53"/>
        <item x="4"/>
        <item x="47"/>
        <item x="6"/>
        <item x="48"/>
        <item x="7"/>
        <item x="49"/>
        <item x="8"/>
        <item x="50"/>
        <item x="35"/>
        <item x="29"/>
        <item x="27"/>
        <item x="54"/>
        <item x="32"/>
        <item x="57"/>
        <item x="58"/>
        <item x="30"/>
        <item t="default"/>
      </items>
    </pivotField>
    <pivotField showAll="0"/>
  </pivotFields>
  <rowFields count="1">
    <field x="4"/>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1"/>
  </colFields>
  <colItems count="6">
    <i>
      <x/>
    </i>
    <i>
      <x v="1"/>
    </i>
    <i>
      <x v="2"/>
    </i>
    <i>
      <x v="3"/>
    </i>
    <i>
      <x v="4"/>
    </i>
    <i t="grand">
      <x/>
    </i>
  </colItems>
  <dataFields count="1">
    <dataField name="Count of Ref"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1.0_standard_Indicator_reference" xr10:uid="{B3ADB6A8-A9B2-40B8-95BF-FECCB47B88AF}" sourceName="V1.0 standard Indicator reference">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eme" xr10:uid="{45BDE1F7-6F85-4BA9-8DBE-B977E074E585}" sourceName="Scheme">
  <extLst>
    <x:ext xmlns:x15="http://schemas.microsoft.com/office/spreadsheetml/2010/11/main" uri="{2F2917AC-EB37-4324-AD4E-5DD8C200BD13}">
      <x15:tableSlicerCache tableId="2" column="1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1.0 standard Indicator reference" xr10:uid="{60E4EF12-1BAA-4028-9444-D4ABA6016A14}" cache="Slicer_V1.0_standard_Indicator_reference" caption="V1.0 standard Indicator reference" rowHeight="241300"/>
  <slicer name="Scheme" xr10:uid="{A132D147-8A9B-4F3B-ACEB-661CE2BFD45A}" cache="Slicer_Scheme" caption="Schem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D3CFDB-7C30-4C64-AFAB-DEE4E2BE86EE}" name="Table1" displayName="Table1" ref="A1:T439" totalsRowShown="0" headerRowDxfId="25" headerRowBorderDxfId="24" headerRowCellStyle="Normal 2" dataCellStyle="Normal 2">
  <autoFilter ref="A1:T439" xr:uid="{B71ECD40-CCDE-49E4-BC89-92EE835C3768}">
    <filterColumn colId="4">
      <filters>
        <filter val="DPLUS-D01"/>
      </filters>
    </filterColumn>
  </autoFilter>
  <tableColumns count="20">
    <tableColumn id="1" xr3:uid="{7AA7B72C-C5AC-4CBB-A5E6-6EE99E61A560}" name="Project reference" dataCellStyle="Normal 2"/>
    <tableColumn id="19" xr3:uid="{64705297-202D-4AC4-9129-0674CDB826CC}" name="Scheme" dataCellStyle="Normal 2"/>
    <tableColumn id="18" xr3:uid="{2F73A042-A05F-4092-B4A3-35DA8937BB66}" name="Round" dataCellStyle="Normal 2"/>
    <tableColumn id="20" xr3:uid="{496E096E-B886-4B92-8648-33BF9AB30710}" name="Grant value" dataDxfId="23" dataCellStyle="Comma"/>
    <tableColumn id="2" xr3:uid="{0D39A3AB-D9DB-4786-9BB7-0A8181CE227A}" name="V1.0 standard Indicator reference" dataCellStyle="Normal 2"/>
    <tableColumn id="3" xr3:uid="{DAE66062-CAEE-4B53-AFC5-2C729DC57198}" name="Standard Indicator ID Short" dataCellStyle="Normal 2">
      <calculatedColumnFormula>RIGHT(E2, LEN(E2) - 6)</calculatedColumnFormula>
    </tableColumn>
    <tableColumn id="4" xr3:uid="{6B536DF8-703A-4F1D-8C66-35CC23FDE22B}" name="Standard Indicator wording" dataCellStyle="Normal 2"/>
    <tableColumn id="5" xr3:uid="{45408D4A-AAB7-4358-972D-2980DE9925F9}" name="V1.0 or V2.0 reference" dataCellStyle="Normal 2"/>
    <tableColumn id="6" xr3:uid="{11864E6A-DC34-4092-807B-B271F965D7F6}" name="Year of results" dataCellStyle="Normal 2"/>
    <tableColumn id="7" xr3:uid="{1C733D42-76A9-4417-99FF-AB6692991775}" name="Country" dataCellStyle="Normal 2"/>
    <tableColumn id="8" xr3:uid="{6D168278-7B6F-471A-AB7B-0FA7CD4D36FC}" name="Gender" dataCellStyle="Normal 2"/>
    <tableColumn id="9" xr3:uid="{555A55A2-14A8-448B-9996-DEB80F3A8E48}" name="Indigenous" dataCellStyle="Normal 2"/>
    <tableColumn id="10" xr3:uid="{B52CA8BC-C7D4-4A8E-ADA4-36E326763746}" name="Ecosystem type" dataCellStyle="Normal 2"/>
    <tableColumn id="11" xr3:uid="{89187F03-E8BF-4BFB-A673-502E8372972B}" name="Management type" dataCellStyle="Normal 2"/>
    <tableColumn id="12" xr3:uid="{DDCB76CC-9840-494B-8149-6109F9CC03AA}" name="New vs improved" dataCellStyle="Normal 2"/>
    <tableColumn id="13" xr3:uid="{EAC350FE-B687-4CB8-99FC-F7E1941B66CA}" name="Milestone for year" dataCellStyle="Normal 2"/>
    <tableColumn id="14" xr3:uid="{AFBD9D66-A7DC-4271-9195-D1A3C29A450A}" name="Result for year" dataCellStyle="Normal 2"/>
    <tableColumn id="15" xr3:uid="{EAAFC764-9097-4763-A6E3-EC4BD3E9A9AD}" name="Total achieved to date" dataCellStyle="Normal 2"/>
    <tableColumn id="16" xr3:uid="{EC18B034-08B8-4FC2-A3ED-435554267218}" name="Target for full project" dataCellStyle="Normal 2"/>
    <tableColumn id="17" xr3:uid="{CF851C2A-3CDF-46B2-8030-7899A284E75C}" name="Notes (include initials)"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BE8E8C-D9E4-4CA3-A8B7-F0C2EA804450}" name="Table2" displayName="Table2" ref="A1:T136" totalsRowShown="0" headerRowDxfId="22" headerRowCellStyle="Normal 2">
  <autoFilter ref="A1:T136" xr:uid="{378619B9-B162-45E8-9705-84D88FF32069}"/>
  <sortState xmlns:xlrd2="http://schemas.microsoft.com/office/spreadsheetml/2017/richdata2" ref="A6:T130">
    <sortCondition ref="D1:D136"/>
  </sortState>
  <tableColumns count="20">
    <tableColumn id="1" xr3:uid="{E0DBC829-83BD-4A61-BF23-563A9C49F44C}" name="Reference" dataCellStyle="Normal 2"/>
    <tableColumn id="2" xr3:uid="{AB94ADB2-9EAE-46D0-8764-96D8897EF165}" name="Fund" dataCellStyle="Normal 2"/>
    <tableColumn id="3" xr3:uid="{F1E03C48-D6EC-4FB6-8087-A39E92BE1605}" name="Scheme" dataCellStyle="Normal 2"/>
    <tableColumn id="4" xr3:uid="{155D10FE-E6F7-43D3-95D0-5F224CC3B6D6}" name="Funding Round" dataCellStyle="Normal 2"/>
    <tableColumn id="5" xr3:uid="{D3849F6B-A1A5-4254-AFFB-BC48E16DC0C7}" name="Title" dataCellStyle="Normal 2"/>
    <tableColumn id="6" xr3:uid="{3AA8B1C3-D325-4B15-A55A-B3A2AD978ACF}" name="UKOT" dataCellStyle="Normal 2"/>
    <tableColumn id="7" xr3:uid="{B61755BD-98C8-42B3-A621-C7573755BF3A}" name="Grant value" dataDxfId="21" dataCellStyle="Comma"/>
    <tableColumn id="8" xr3:uid="{312D08F0-4546-4CE9-BBED-71C22AF220E3}" name="Start date" dataDxfId="20" dataCellStyle="Normal 2"/>
    <tableColumn id="9" xr3:uid="{1CFAE20E-EEE3-429C-B4D7-09D7F4F36161}" name="End date" dataDxfId="19" dataCellStyle="Normal 2"/>
    <tableColumn id="10" xr3:uid="{E738D067-4311-448F-8C3C-E9847F50C2A8}" name="Type of Report" dataDxfId="18" dataCellStyle="Normal 2"/>
    <tableColumn id="11" xr3:uid="{66F33115-08F5-4BBE-A94A-D1AA9120625E}" name="Report #" dataDxfId="17" dataCellStyle="Normal 2"/>
    <tableColumn id="12" xr3:uid="{5B8FEB67-D9E8-4471-8ECC-634E1F55C19B}" name="Results in 23/24?" dataDxfId="16" dataCellStyle="Normal 2"/>
    <tableColumn id="13" xr3:uid="{0B5D1E9C-4AE1-4968-880E-6AD41152DFE1}" name="Comments/FRs with SIs?" dataDxfId="15" dataCellStyle="Normal 2"/>
    <tableColumn id="15" xr3:uid="{648FD450-11F4-42FE-84A6-15C284A57171}" name="Matched funding to date" dataDxfId="14" dataCellStyle="Normal 2"/>
    <tableColumn id="20" xr3:uid="{16465ADA-63F8-4E82-A284-D948696376EF}" name="Matched funding planned" dataDxfId="13" dataCellStyle="Normal 2"/>
    <tableColumn id="16" xr3:uid="{ECD96C95-5BB6-4E76-AB7E-817695BA4CD3}" name="Mobilised funding to date" dataDxfId="12" dataCellStyle="Normal 2"/>
    <tableColumn id="17" xr3:uid="{99D94524-730D-4431-8EBB-6EEBFD702211}" name="Mobilised funding Planned" dataCellStyle="Normal 2"/>
    <tableColumn id="18" xr3:uid="{EF43F925-20C3-4ECC-9C99-AA03502E3E30}" name="Gender: Proportion of projects led by women" dataCellStyle="Normal 2"/>
    <tableColumn id="19" xr3:uid="{BE52E554-459B-41DE-B809-91CEB901EB05}" name="SI data compiled? Y/N" dataDxfId="11" dataCellStyle="Normal 2"/>
    <tableColumn id="21" xr3:uid="{0832067F-FDF4-47B3-A774-7B3A47F2231B}" name="Notes"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AF3366-B1D8-4F95-90EE-E1B7A86A2FE7}" name="Table3" displayName="Table3" ref="A1:F557" totalsRowShown="0">
  <autoFilter ref="A1:F557" xr:uid="{E5AF3366-B1D8-4F95-90EE-E1B7A86A2FE7}"/>
  <tableColumns count="6">
    <tableColumn id="1" xr3:uid="{112C2640-96A1-45AF-AA63-C5723CEAC0E0}" name="Ref"/>
    <tableColumn id="2" xr3:uid="{034404D5-21F0-4FB7-9E61-14C32B9CF698}" name="Round" dataDxfId="10" dataCellStyle="Normal 2"/>
    <tableColumn id="3" xr3:uid="{2805D7CE-398F-4307-B34D-6D219113D857}" name="Year"/>
    <tableColumn id="4" xr3:uid="{7F0DB303-9DC3-451D-9756-42DA09065720}" name="ReportingYear"/>
    <tableColumn id="5" xr3:uid="{904CEA9F-FE7D-47FC-A3ED-F86F359838EA}" name="SI"/>
    <tableColumn id="6" xr3:uid="{CF697677-7E11-45B3-AA04-BC35FDBA32DC}" name="Resul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 dT="2024-09-16T08:43:50.53" personId="{717C63EB-88CD-495E-A4F9-A3E566276A02}" id="{7EB0F565-1AFC-44DB-8202-8E0ACD5D6214}">
    <text xml:space="preserve">in library </text>
    <extLst>
      <x:ext xmlns:xltc2="http://schemas.microsoft.com/office/spreadsheetml/2020/threadedcomments2" uri="{F7C98A9C-CBB3-438F-8F68-D28B6AF4A901}">
        <xltc2:checksum>371330521</xltc2:checksum>
        <xltc2:hyperlink startIndex="0" length="10" url="https://niras.sharepoint.com/:f:/r/sites/NSCOL16-14/Shared%20Documents/Projects/Live%20Projects/World/DEFRA/Darwin/_.Project-Reports/Reports%20in%202024-25/FR/in%20library?csf=1&amp;web=1&amp;e=3HzIE9"/>
      </x:ext>
    </extLst>
  </threadedComment>
  <threadedComment ref="D2" dT="2024-09-16T07:14:26.97" personId="{717C63EB-88CD-495E-A4F9-A3E566276A02}" id="{706E1D55-780C-4F15-B439-A9C308D2412E}">
    <text xml:space="preserve">D+ Local Rounds don't align with D+ Main so I have aligned for sake on analysis: D+ Local round 1 captured in parallel to other D+ schemes in Round 11. D+ Local Round 2 (and 3 but they didn't report yet) captured in parallel to D+ schemes in Round 12.  </text>
  </threadedComment>
  <threadedComment ref="A17" dT="2024-09-16T12:38:45.35" personId="{717C63EB-88CD-495E-A4F9-A3E566276A02}" id="{0B7C1F06-694D-4BD5-8629-30C7F5D0459C}">
    <text xml:space="preserve">Reports for projects in yellow are in different location: in library </text>
    <extLst>
      <x:ext xmlns:xltc2="http://schemas.microsoft.com/office/spreadsheetml/2020/threadedcomments2" uri="{F7C98A9C-CBB3-438F-8F68-D28B6AF4A901}">
        <xltc2:checksum>2771313870</xltc2:checksum>
        <xltc2:hyperlink startIndex="58" length="10" url="https://niras.sharepoint.com/:f:/r/sites/NSCOL16-14/Shared%20Documents/Projects/Live%20Projects/World/DEFRA/Darwin/_.Project-Reports/Reports%20in%202023-24/FRs/in%20library?csf=1&amp;web=1&amp;e=3S12Zd"/>
      </x:ext>
    </extLst>
  </threadedComment>
  <threadedComment ref="M64" dT="2024-09-19T13:06:59.74" personId="{3A7CF193-E7FE-4898-81E9-BB1959B66071}" id="{1217FB01-2D82-4886-B4A8-2EC83C2CEDB8}">
    <text>Project did not report against SIs noting "project developed prior to standard indicators (Round 9)"</text>
  </threadedComment>
  <threadedComment ref="M68" dT="2024-09-19T13:23:02.56" personId="{3A7CF193-E7FE-4898-81E9-BB1959B66071}" id="{83686874-BDAF-4D84-AC79-A71A3923A57E}">
    <text>DPLUS131 did not report against SIs</text>
  </threadedComment>
  <threadedComment ref="M83" dT="2024-09-16T12:52:31.21" personId="{717C63EB-88CD-495E-A4F9-A3E566276A02}" id="{F4E33246-ED95-4D24-99B3-9C02BF99C81E}">
    <text>Not sure they have understood as examples included...may apply to others as lots of light reporting on D+</text>
  </threadedComment>
  <threadedComment ref="M83" dT="2024-09-19T14:39:46.42" personId="{3A7CF193-E7FE-4898-81E9-BB1959B66071}" id="{1774E8DE-8BCB-4AE4-AF58-7458DC5DF8E8}" parentId="{F4E33246-ED95-4D24-99B3-9C02BF99C81E}">
    <text>Yeah a couple of other have done this - have commented where necessary</text>
  </threadedComment>
  <threadedComment ref="L97" dT="2024-09-16T07:56:37.28" personId="{717C63EB-88CD-495E-A4F9-A3E566276A02}" id="{9EF50456-5E99-412B-AE60-C08CD38CDE22}">
    <text>Submitted AR in April, FR due in Sept</text>
  </threadedComment>
</ThreadedComments>
</file>

<file path=xl/threadedComments/threadedComment2.xml><?xml version="1.0" encoding="utf-8"?>
<ThreadedComments xmlns="http://schemas.microsoft.com/office/spreadsheetml/2018/threadedcomments" xmlns:x="http://schemas.openxmlformats.org/spreadsheetml/2006/main">
  <threadedComment ref="N1" dT="2024-07-16T14:01:32.88" personId="{95BF0786-01EB-45B8-BCC6-175E4D0197D1}" id="{B3E7607A-8B52-4132-917C-9D5164A14AAA}">
    <text>Number of projects reporting in each round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microsoft.com/office/2007/relationships/slicer" Target="../slicers/slicer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D1ACD-3E3E-4532-9E92-C9B6CF7D35F4}">
  <sheetPr>
    <tabColor rgb="FF008080"/>
  </sheetPr>
  <dimension ref="A1:L143"/>
  <sheetViews>
    <sheetView tabSelected="1" showRuler="0" zoomScale="80" zoomScaleNormal="80" zoomScaleSheetLayoutView="400" zoomScalePageLayoutView="90" workbookViewId="0">
      <selection activeCell="D11" sqref="D11:I11"/>
    </sheetView>
  </sheetViews>
  <sheetFormatPr defaultColWidth="9.28515625" defaultRowHeight="14.25" customHeight="1" x14ac:dyDescent="0.2"/>
  <cols>
    <col min="1" max="2" width="9.28515625" style="1"/>
    <col min="3" max="3" width="27.85546875" style="1" customWidth="1"/>
    <col min="4" max="4" width="9.28515625" style="1"/>
    <col min="5" max="9" width="13.7109375" style="1" customWidth="1"/>
    <col min="10" max="10" width="9.28515625" style="1"/>
    <col min="11" max="11" width="9.42578125" style="1" customWidth="1"/>
    <col min="12" max="16384" width="9.28515625" style="1"/>
  </cols>
  <sheetData>
    <row r="1" spans="1:12" ht="14.25" customHeight="1" x14ac:dyDescent="0.2">
      <c r="A1" s="160"/>
      <c r="B1" s="75"/>
      <c r="C1" s="75"/>
      <c r="D1" s="75"/>
      <c r="E1" s="75"/>
      <c r="F1" s="75"/>
      <c r="G1" s="75"/>
      <c r="H1" s="75"/>
      <c r="I1" s="75"/>
      <c r="J1" s="75"/>
      <c r="K1" s="76"/>
    </row>
    <row r="2" spans="1:12" ht="19.899999999999999" customHeight="1" x14ac:dyDescent="0.35">
      <c r="A2" s="80"/>
      <c r="B2" s="73"/>
      <c r="C2" s="74"/>
      <c r="D2" s="74"/>
      <c r="E2" s="74"/>
      <c r="F2" s="74"/>
      <c r="G2" s="74"/>
      <c r="H2" s="74"/>
      <c r="I2" s="75"/>
      <c r="J2" s="76"/>
      <c r="K2" s="78"/>
    </row>
    <row r="3" spans="1:12" ht="14.25" customHeight="1" x14ac:dyDescent="0.35">
      <c r="A3" s="80"/>
      <c r="B3" s="77"/>
      <c r="C3" s="328" t="s">
        <v>864</v>
      </c>
      <c r="D3" s="328"/>
      <c r="E3" s="328"/>
      <c r="F3" s="328"/>
      <c r="G3" s="328"/>
      <c r="H3" s="328"/>
      <c r="I3" s="329"/>
      <c r="J3" s="78"/>
      <c r="K3" s="78"/>
    </row>
    <row r="4" spans="1:12" ht="13.15" customHeight="1" x14ac:dyDescent="0.35">
      <c r="A4" s="80"/>
      <c r="B4" s="77"/>
      <c r="C4" s="328"/>
      <c r="D4" s="328"/>
      <c r="E4" s="328"/>
      <c r="F4" s="328"/>
      <c r="G4" s="328"/>
      <c r="H4" s="328"/>
      <c r="I4" s="329"/>
      <c r="J4" s="78"/>
      <c r="K4" s="78"/>
    </row>
    <row r="5" spans="1:12" ht="19.149999999999999" customHeight="1" x14ac:dyDescent="0.35">
      <c r="A5" s="80"/>
      <c r="B5" s="77"/>
      <c r="C5" s="328"/>
      <c r="D5" s="328"/>
      <c r="E5" s="328"/>
      <c r="F5" s="328"/>
      <c r="G5" s="328"/>
      <c r="H5" s="328"/>
      <c r="I5" s="329"/>
      <c r="J5" s="78"/>
      <c r="K5" s="78"/>
    </row>
    <row r="6" spans="1:12" ht="14.25" customHeight="1" x14ac:dyDescent="0.35">
      <c r="A6" s="80"/>
      <c r="B6" s="77"/>
      <c r="C6" s="328"/>
      <c r="D6" s="328"/>
      <c r="E6" s="328"/>
      <c r="F6" s="328"/>
      <c r="G6" s="328"/>
      <c r="H6" s="328"/>
      <c r="I6" s="329"/>
      <c r="J6" s="78"/>
      <c r="K6" s="78"/>
    </row>
    <row r="7" spans="1:12" ht="44.65" customHeight="1" x14ac:dyDescent="0.35">
      <c r="A7" s="80"/>
      <c r="B7" s="77"/>
      <c r="C7" s="330"/>
      <c r="D7" s="330"/>
      <c r="E7" s="330"/>
      <c r="F7" s="330"/>
      <c r="G7" s="330"/>
      <c r="H7" s="330"/>
      <c r="I7" s="331"/>
      <c r="J7" s="78"/>
      <c r="K7" s="78"/>
    </row>
    <row r="8" spans="1:12" ht="14.25" customHeight="1" x14ac:dyDescent="0.35">
      <c r="A8" s="80"/>
      <c r="B8" s="77"/>
      <c r="C8" s="161"/>
      <c r="D8" s="162"/>
      <c r="E8" s="162"/>
      <c r="F8" s="162"/>
      <c r="G8" s="163"/>
      <c r="H8" s="163"/>
      <c r="I8" s="79"/>
      <c r="J8" s="78"/>
      <c r="K8" s="78"/>
    </row>
    <row r="9" spans="1:12" ht="14.25" customHeight="1" x14ac:dyDescent="0.35">
      <c r="A9" s="80"/>
      <c r="B9" s="77"/>
      <c r="C9" s="164" t="s">
        <v>0</v>
      </c>
      <c r="D9" s="164"/>
      <c r="E9" s="164"/>
      <c r="F9" s="164"/>
      <c r="G9" s="164"/>
      <c r="H9" s="164"/>
      <c r="I9" s="79"/>
      <c r="J9" s="78"/>
      <c r="K9" s="78"/>
    </row>
    <row r="10" spans="1:12" ht="14.25" customHeight="1" x14ac:dyDescent="0.35">
      <c r="A10" s="80"/>
      <c r="B10" s="77"/>
      <c r="C10" s="258"/>
      <c r="D10" s="258"/>
      <c r="E10" s="258"/>
      <c r="F10" s="258"/>
      <c r="G10" s="258"/>
      <c r="H10" s="258"/>
      <c r="I10" s="75"/>
      <c r="J10" s="78"/>
      <c r="K10" s="78"/>
      <c r="L10" s="4"/>
    </row>
    <row r="11" spans="1:12" ht="14.25" customHeight="1" x14ac:dyDescent="0.35">
      <c r="A11" s="80"/>
      <c r="B11" s="77"/>
      <c r="C11" s="79" t="s">
        <v>1</v>
      </c>
      <c r="D11" s="332" t="s">
        <v>2</v>
      </c>
      <c r="E11" s="332"/>
      <c r="F11" s="332"/>
      <c r="G11" s="332"/>
      <c r="H11" s="332"/>
      <c r="I11" s="332"/>
      <c r="J11" s="78"/>
      <c r="K11" s="78"/>
    </row>
    <row r="12" spans="1:12" ht="14.25" customHeight="1" x14ac:dyDescent="0.35">
      <c r="A12" s="80"/>
      <c r="B12" s="77"/>
      <c r="C12" s="79" t="s">
        <v>3</v>
      </c>
      <c r="D12" s="332" t="s">
        <v>4</v>
      </c>
      <c r="E12" s="332"/>
      <c r="F12" s="332"/>
      <c r="G12" s="332"/>
      <c r="H12" s="332"/>
      <c r="I12" s="332"/>
      <c r="J12" s="78"/>
      <c r="K12" s="78"/>
    </row>
    <row r="13" spans="1:12" ht="14.25" customHeight="1" x14ac:dyDescent="0.35">
      <c r="A13" s="80"/>
      <c r="B13" s="77"/>
      <c r="C13" s="79" t="s">
        <v>5</v>
      </c>
      <c r="D13" s="332" t="s">
        <v>6</v>
      </c>
      <c r="E13" s="332"/>
      <c r="F13" s="332"/>
      <c r="G13" s="332"/>
      <c r="H13" s="332"/>
      <c r="I13" s="332"/>
      <c r="J13" s="78"/>
      <c r="K13" s="78"/>
    </row>
    <row r="14" spans="1:12" ht="14.25" customHeight="1" x14ac:dyDescent="0.35">
      <c r="A14" s="80"/>
      <c r="B14" s="77"/>
      <c r="C14" s="79" t="s">
        <v>7</v>
      </c>
      <c r="D14" s="332" t="s">
        <v>8</v>
      </c>
      <c r="E14" s="332"/>
      <c r="F14" s="332"/>
      <c r="G14" s="332"/>
      <c r="H14" s="332"/>
      <c r="I14" s="332"/>
      <c r="J14" s="78"/>
      <c r="K14" s="78"/>
    </row>
    <row r="15" spans="1:12" ht="14.25" customHeight="1" x14ac:dyDescent="0.2">
      <c r="A15" s="80"/>
      <c r="B15" s="80"/>
      <c r="C15" s="79" t="s">
        <v>9</v>
      </c>
      <c r="D15" s="332" t="s">
        <v>10</v>
      </c>
      <c r="E15" s="332"/>
      <c r="F15" s="332"/>
      <c r="G15" s="332"/>
      <c r="H15" s="332"/>
      <c r="I15" s="332"/>
      <c r="J15" s="78"/>
      <c r="K15" s="78"/>
    </row>
    <row r="16" spans="1:12" ht="14.25" customHeight="1" x14ac:dyDescent="0.2">
      <c r="A16" s="80"/>
      <c r="B16" s="80"/>
      <c r="C16" s="79" t="s">
        <v>11</v>
      </c>
      <c r="D16" s="332" t="s">
        <v>12</v>
      </c>
      <c r="E16" s="332"/>
      <c r="F16" s="332"/>
      <c r="G16" s="332"/>
      <c r="H16" s="332"/>
      <c r="I16" s="285"/>
      <c r="J16" s="78"/>
      <c r="K16" s="78"/>
    </row>
    <row r="17" spans="1:11" ht="12.75" x14ac:dyDescent="0.2">
      <c r="A17" s="80"/>
      <c r="B17" s="80"/>
      <c r="C17" s="320" t="s">
        <v>13</v>
      </c>
      <c r="D17" s="333" t="s">
        <v>14</v>
      </c>
      <c r="E17" s="333"/>
      <c r="F17" s="333"/>
      <c r="G17" s="333"/>
      <c r="H17" s="333"/>
      <c r="I17" s="285"/>
      <c r="J17" s="78"/>
      <c r="K17" s="78"/>
    </row>
    <row r="18" spans="1:11" ht="12.75" x14ac:dyDescent="0.2">
      <c r="A18" s="80"/>
      <c r="B18" s="80"/>
      <c r="C18" s="320" t="s">
        <v>15</v>
      </c>
      <c r="D18" s="306" t="s">
        <v>16</v>
      </c>
      <c r="E18" s="306"/>
      <c r="F18" s="306"/>
      <c r="G18" s="306"/>
      <c r="H18" s="306"/>
      <c r="I18" s="285"/>
      <c r="J18" s="78"/>
      <c r="K18" s="78"/>
    </row>
    <row r="19" spans="1:11" ht="12.75" x14ac:dyDescent="0.2">
      <c r="A19" s="80"/>
      <c r="B19" s="80"/>
      <c r="C19" s="320" t="s">
        <v>17</v>
      </c>
      <c r="D19" s="306" t="s">
        <v>18</v>
      </c>
      <c r="E19" s="306"/>
      <c r="F19" s="306"/>
      <c r="G19" s="306"/>
      <c r="H19" s="306"/>
      <c r="I19" s="285"/>
      <c r="J19" s="78"/>
      <c r="K19" s="78"/>
    </row>
    <row r="20" spans="1:11" ht="14.25" customHeight="1" x14ac:dyDescent="0.2">
      <c r="A20" s="80"/>
      <c r="B20" s="80"/>
      <c r="C20" s="79"/>
      <c r="D20" s="79"/>
      <c r="E20" s="79"/>
      <c r="F20" s="79"/>
      <c r="G20" s="79"/>
      <c r="H20" s="79"/>
      <c r="I20" s="79"/>
      <c r="J20" s="78"/>
      <c r="K20" s="78"/>
    </row>
    <row r="21" spans="1:11" ht="14.25" customHeight="1" x14ac:dyDescent="0.35">
      <c r="A21" s="80"/>
      <c r="B21" s="77"/>
      <c r="C21" s="82" t="s">
        <v>19</v>
      </c>
      <c r="D21" s="82"/>
      <c r="E21" s="82"/>
      <c r="F21" s="82"/>
      <c r="G21" s="82"/>
      <c r="H21" s="82"/>
      <c r="I21" s="82"/>
      <c r="J21" s="78"/>
      <c r="K21" s="78"/>
    </row>
    <row r="22" spans="1:11" ht="14.25" customHeight="1" x14ac:dyDescent="0.35">
      <c r="A22" s="80"/>
      <c r="B22" s="77"/>
      <c r="C22" s="164"/>
      <c r="D22" s="164"/>
      <c r="E22" s="164"/>
      <c r="F22" s="164"/>
      <c r="G22" s="164"/>
      <c r="H22" s="164"/>
      <c r="I22" s="164"/>
      <c r="J22" s="78"/>
      <c r="K22" s="78"/>
    </row>
    <row r="23" spans="1:11" ht="54" customHeight="1" x14ac:dyDescent="0.35">
      <c r="A23" s="80"/>
      <c r="B23" s="77"/>
      <c r="C23" s="259" t="s">
        <v>20</v>
      </c>
      <c r="D23" s="292" t="s">
        <v>21</v>
      </c>
      <c r="E23" s="260" t="s">
        <v>22</v>
      </c>
      <c r="F23" s="260" t="s">
        <v>23</v>
      </c>
      <c r="G23" s="26" t="s">
        <v>24</v>
      </c>
      <c r="H23" s="26" t="s">
        <v>25</v>
      </c>
      <c r="I23" s="26" t="s">
        <v>26</v>
      </c>
      <c r="J23" s="78"/>
      <c r="K23" s="78"/>
    </row>
    <row r="24" spans="1:11" ht="14.25" customHeight="1" x14ac:dyDescent="0.35">
      <c r="A24" s="80"/>
      <c r="B24" s="77"/>
      <c r="C24" s="16" t="s">
        <v>27</v>
      </c>
      <c r="D24" s="281">
        <f>COUNTIF(Table2[Results in 23/24?],"Y")</f>
        <v>132</v>
      </c>
      <c r="E24" s="273">
        <f>SUMIF(Table2[Results in 23/24?],"Y",Table2[Grant value])</f>
        <v>25000230.369999997</v>
      </c>
      <c r="F24" s="264"/>
      <c r="G24" s="265"/>
      <c r="H24" s="265"/>
      <c r="I24" s="266"/>
      <c r="J24" s="78"/>
      <c r="K24" s="78"/>
    </row>
    <row r="25" spans="1:11" ht="14.25" customHeight="1" x14ac:dyDescent="0.35">
      <c r="A25" s="80"/>
      <c r="B25" s="77"/>
      <c r="C25" s="263" t="s">
        <v>28</v>
      </c>
      <c r="D25" s="282">
        <f>COUNTIFS(Table2[Results in 23/24?],"Y",Table2[Type of Report],"AR")</f>
        <v>41</v>
      </c>
      <c r="E25" s="273">
        <f>SUMIFS(Table2[Grant value],Table2[Results in 23/24?],"Y",Table2[Type of Report],"AR")</f>
        <v>14336936.57</v>
      </c>
      <c r="F25" s="267"/>
      <c r="G25" s="268"/>
      <c r="H25" s="268"/>
      <c r="I25" s="269"/>
      <c r="J25" s="78"/>
      <c r="K25" s="78"/>
    </row>
    <row r="26" spans="1:11" ht="14.25" customHeight="1" x14ac:dyDescent="0.35">
      <c r="A26" s="80"/>
      <c r="B26" s="77"/>
      <c r="C26" s="263" t="s">
        <v>29</v>
      </c>
      <c r="D26" s="283">
        <f>COUNTIFS(Table2[Results in 23/24?],"Y",Table2[Type of Report],"FR")</f>
        <v>91</v>
      </c>
      <c r="E26" s="273">
        <f>SUMIFS(Table2[Grant value],Table2[Results in 23/24?],"Y",Table2[Type of Report],"FR")</f>
        <v>10663293.799999999</v>
      </c>
      <c r="F26" s="270"/>
      <c r="G26" s="271"/>
      <c r="H26" s="271"/>
      <c r="I26" s="272"/>
      <c r="J26" s="78"/>
      <c r="K26" s="78"/>
    </row>
    <row r="27" spans="1:11" ht="14.25" customHeight="1" x14ac:dyDescent="0.35">
      <c r="A27" s="80"/>
      <c r="B27" s="77"/>
      <c r="C27" s="276" t="s">
        <v>30</v>
      </c>
      <c r="D27" s="289">
        <f>COUNTIF(Table2[SI data compiled? Y/N],"Y")</f>
        <v>92</v>
      </c>
      <c r="E27" s="290">
        <f>SUMIF(Table2[SI data compiled? Y/N],"Y",Table2[Grant value])</f>
        <v>14437103.470000001</v>
      </c>
      <c r="F27" s="243">
        <f>SUMIF(Table2[SI data compiled? Y/N],"Y",Table2[Matched funding to date])</f>
        <v>2358754.4900000002</v>
      </c>
      <c r="G27" s="243">
        <f>SUMIF(Table2[SI data compiled? Y/N],"Y",Table2[Matched funding planned])</f>
        <v>2841800.75</v>
      </c>
      <c r="H27" s="243">
        <f>SUMIF(Table2[SI data compiled? Y/N],"Y",Table2[Mobilised funding to date])</f>
        <v>476674</v>
      </c>
      <c r="I27" s="243">
        <f>SUMIF(Table2[SI data compiled? Y/N],"Y",Table2[Mobilised funding Planned])</f>
        <v>147332</v>
      </c>
      <c r="J27" s="78"/>
      <c r="K27" s="78"/>
    </row>
    <row r="28" spans="1:11" ht="14.25" customHeight="1" x14ac:dyDescent="0.35">
      <c r="A28" s="80"/>
      <c r="B28" s="77"/>
      <c r="C28" s="22" t="s">
        <v>31</v>
      </c>
      <c r="D28" s="284"/>
      <c r="E28" s="277"/>
      <c r="F28" s="278">
        <f>F27/E27</f>
        <v>0.16338142168901421</v>
      </c>
      <c r="G28" s="278">
        <f>G27/E27</f>
        <v>0.19684009025115062</v>
      </c>
      <c r="H28" s="278">
        <f>H27/E27</f>
        <v>3.3017287781480449E-2</v>
      </c>
      <c r="I28" s="278">
        <f>I27/E27</f>
        <v>1.0205094138595933E-2</v>
      </c>
      <c r="J28" s="78"/>
      <c r="K28" s="78"/>
    </row>
    <row r="29" spans="1:11" ht="14.25" customHeight="1" x14ac:dyDescent="0.35">
      <c r="A29" s="80"/>
      <c r="B29" s="77"/>
      <c r="C29" s="79"/>
      <c r="D29" s="261"/>
      <c r="E29" s="241"/>
      <c r="F29" s="241"/>
      <c r="G29" s="241"/>
      <c r="H29" s="241"/>
      <c r="I29" s="241"/>
      <c r="J29" s="78"/>
      <c r="K29" s="78"/>
    </row>
    <row r="30" spans="1:11" ht="14.25" customHeight="1" x14ac:dyDescent="0.35">
      <c r="A30" s="80"/>
      <c r="B30" s="77"/>
      <c r="C30" s="82" t="s">
        <v>32</v>
      </c>
      <c r="D30" s="261"/>
      <c r="E30" s="241"/>
      <c r="F30" s="241"/>
      <c r="G30" s="241"/>
      <c r="H30" s="241"/>
      <c r="I30" s="241"/>
      <c r="J30" s="78"/>
      <c r="K30" s="78"/>
    </row>
    <row r="31" spans="1:11" ht="14.25" customHeight="1" x14ac:dyDescent="0.35">
      <c r="A31" s="80"/>
      <c r="B31" s="77"/>
      <c r="C31" s="286">
        <v>8</v>
      </c>
      <c r="D31" s="283">
        <f>COUNTIFS(Table2[SI data compiled? Y/N],"Y",Table2[Funding Round],C31)</f>
        <v>6</v>
      </c>
      <c r="E31" s="240">
        <f>SUMIFS(Table2[Grant value],Table2[SI data compiled? Y/N],"Y",Table2[Funding Round],C31)</f>
        <v>1731918</v>
      </c>
      <c r="F31" s="240">
        <f>SUMIFS(Table2[Matched funding to date],Table2[SI data compiled? Y/N],"Y",Table2[Funding Round],C31)</f>
        <v>151159.5</v>
      </c>
      <c r="G31" s="240">
        <f>SUMIFS(Table2[Matched funding planned],Table2[SI data compiled? Y/N],"Y",Table2[Funding Round],C31)</f>
        <v>34481.71</v>
      </c>
      <c r="H31" s="240">
        <f>SUMIFS(Table2[Mobilised funding to date],Table2[SI data compiled? Y/N],"Y",Table2[Funding Round],C31)</f>
        <v>0</v>
      </c>
      <c r="I31" s="240">
        <f>SUMIFS(Table2[Mobilised funding Planned],Table2[SI data compiled? Y/N],"Y",Table2[Funding Round],C31)</f>
        <v>0</v>
      </c>
      <c r="J31" s="83"/>
      <c r="K31" s="78"/>
    </row>
    <row r="32" spans="1:11" ht="14.25" customHeight="1" x14ac:dyDescent="0.35">
      <c r="A32" s="80"/>
      <c r="B32" s="77"/>
      <c r="C32" s="287">
        <v>9</v>
      </c>
      <c r="D32" s="283">
        <f>COUNTIFS(Table2[SI data compiled? Y/N],"Y",Table2[Funding Round],C32)</f>
        <v>10</v>
      </c>
      <c r="E32" s="240">
        <f>SUMIFS(Table2[Grant value],Table2[SI data compiled? Y/N],"Y",Table2[Funding Round],C32)</f>
        <v>2340308</v>
      </c>
      <c r="F32" s="240">
        <f>SUMIFS(Table2[Matched funding to date],Table2[SI data compiled? Y/N],"Y",Table2[Funding Round],C32)</f>
        <v>829819.87</v>
      </c>
      <c r="G32" s="240">
        <f>SUMIFS(Table2[Matched funding planned],Table2[SI data compiled? Y/N],"Y",Table2[Funding Round],C32)</f>
        <v>252248.04000000004</v>
      </c>
      <c r="H32" s="240">
        <f>SUMIFS(Table2[Mobilised funding to date],Table2[SI data compiled? Y/N],"Y",Table2[Funding Round],C32)</f>
        <v>110794</v>
      </c>
      <c r="I32" s="240">
        <f>SUMIFS(Table2[Mobilised funding Planned],Table2[SI data compiled? Y/N],"Y",Table2[Funding Round],C32)</f>
        <v>0</v>
      </c>
      <c r="J32" s="83"/>
      <c r="K32" s="78"/>
    </row>
    <row r="33" spans="1:11" ht="14.25" customHeight="1" x14ac:dyDescent="0.35">
      <c r="A33" s="80"/>
      <c r="B33" s="77"/>
      <c r="C33" s="287">
        <v>10</v>
      </c>
      <c r="D33" s="283">
        <f>COUNTIFS(Table2[SI data compiled? Y/N],"Y",Table2[Funding Round],C33)</f>
        <v>14</v>
      </c>
      <c r="E33" s="240">
        <f>SUMIFS(Table2[Grant value],Table2[SI data compiled? Y/N],"Y",Table2[Funding Round],C33)</f>
        <v>3945163</v>
      </c>
      <c r="F33" s="240">
        <f>SUMIFS(Table2[Matched funding to date],Table2[SI data compiled? Y/N],"Y",Table2[Funding Round],C33)</f>
        <v>990230.29</v>
      </c>
      <c r="G33" s="240">
        <f>SUMIFS(Table2[Matched funding planned],Table2[SI data compiled? Y/N],"Y",Table2[Funding Round],C33)</f>
        <v>1619858</v>
      </c>
      <c r="H33" s="240">
        <f>SUMIFS(Table2[Mobilised funding to date],Table2[SI data compiled? Y/N],"Y",Table2[Funding Round],C33)</f>
        <v>274212</v>
      </c>
      <c r="I33" s="240">
        <f>SUMIFS(Table2[Mobilised funding Planned],Table2[SI data compiled? Y/N],"Y",Table2[Funding Round],C33)</f>
        <v>2200</v>
      </c>
      <c r="J33" s="83"/>
      <c r="K33" s="78"/>
    </row>
    <row r="34" spans="1:11" ht="14.25" customHeight="1" x14ac:dyDescent="0.35">
      <c r="A34" s="80"/>
      <c r="B34" s="77"/>
      <c r="C34" s="288">
        <v>11</v>
      </c>
      <c r="D34" s="283">
        <f>COUNTIFS(Table2[SI data compiled? Y/N],"Y",Table2[Funding Round],C34)</f>
        <v>51</v>
      </c>
      <c r="E34" s="240">
        <f>SUMIFS(Table2[Grant value],Table2[SI data compiled? Y/N],"Y",Table2[Funding Round],C34)</f>
        <v>5971040.4399999995</v>
      </c>
      <c r="F34" s="240">
        <f>SUMIFS(Table2[Matched funding to date],Table2[SI data compiled? Y/N],"Y",Table2[Funding Round],C34)</f>
        <v>387544.82999999996</v>
      </c>
      <c r="G34" s="240">
        <f>SUMIFS(Table2[Matched funding planned],Table2[SI data compiled? Y/N],"Y",Table2[Funding Round],C34)</f>
        <v>935213</v>
      </c>
      <c r="H34" s="240">
        <f>SUMIFS(Table2[Mobilised funding to date],Table2[SI data compiled? Y/N],"Y",Table2[Funding Round],C34)</f>
        <v>91668</v>
      </c>
      <c r="I34" s="240">
        <f>SUMIFS(Table2[Mobilised funding Planned],Table2[SI data compiled? Y/N],"Y",Table2[Funding Round],C34)</f>
        <v>145132</v>
      </c>
      <c r="J34" s="83"/>
      <c r="K34" s="78"/>
    </row>
    <row r="35" spans="1:11" ht="14.25" customHeight="1" x14ac:dyDescent="0.35">
      <c r="A35" s="80"/>
      <c r="B35" s="77"/>
      <c r="C35" s="75"/>
      <c r="D35" s="261"/>
      <c r="E35" s="241"/>
      <c r="F35" s="241"/>
      <c r="G35" s="241"/>
      <c r="H35" s="241"/>
      <c r="I35" s="241"/>
      <c r="J35" s="78"/>
      <c r="K35" s="78"/>
    </row>
    <row r="36" spans="1:11" ht="14.25" customHeight="1" x14ac:dyDescent="0.35">
      <c r="A36" s="80"/>
      <c r="B36" s="77"/>
      <c r="C36" s="82" t="s">
        <v>33</v>
      </c>
      <c r="D36" s="261"/>
      <c r="E36" s="241"/>
      <c r="F36" s="241"/>
      <c r="G36" s="241"/>
      <c r="H36" s="241"/>
      <c r="I36" s="241"/>
      <c r="J36" s="78"/>
      <c r="K36" s="78"/>
    </row>
    <row r="37" spans="1:11" ht="14.25" customHeight="1" x14ac:dyDescent="0.35">
      <c r="A37" s="80"/>
      <c r="B37" s="77"/>
      <c r="C37" s="262" t="s">
        <v>34</v>
      </c>
      <c r="D37" s="283">
        <f>COUNTIFS(Table2[SI data compiled? Y/N],"Y",Table2[Report '#],C37)</f>
        <v>11</v>
      </c>
      <c r="E37" s="240">
        <f>SUMIFS(Table2[Grant value],Table2[SI data compiled? Y/N],"Y",Table2[Report '#],C37)</f>
        <v>4635506</v>
      </c>
      <c r="F37" s="240">
        <f>SUMIFS(Table2[Matched funding to date],Table2[SI data compiled? Y/N],"Y",Table2[Report '#],C37)</f>
        <v>387544.82999999996</v>
      </c>
      <c r="G37" s="240">
        <f>SUMIFS(Table2[Matched funding planned],Table2[SI data compiled? Y/N],"Y",Table2[Report '#],C37)</f>
        <v>935213</v>
      </c>
      <c r="H37" s="240">
        <f>SUMIFS(Table2[Mobilised funding to date],Table2[SI data compiled? Y/N],"Y",Table2[Report '#],C37)</f>
        <v>91668</v>
      </c>
      <c r="I37" s="240">
        <f>SUMIFS(Table2[Mobilised funding Planned],Table2[SI data compiled? Y/N],"Y",Table2[Report '#],C37)</f>
        <v>145132</v>
      </c>
      <c r="J37" s="78"/>
      <c r="K37" s="165"/>
    </row>
    <row r="38" spans="1:11" ht="14.25" customHeight="1" x14ac:dyDescent="0.35">
      <c r="A38" s="80"/>
      <c r="B38" s="77"/>
      <c r="C38" s="262" t="s">
        <v>35</v>
      </c>
      <c r="D38" s="283">
        <f>COUNTIFS(Table2[SI data compiled? Y/N],"Y",Table2[Report '#],C38)</f>
        <v>15</v>
      </c>
      <c r="E38" s="240">
        <f>SUMIFS(Table2[Grant value],Table2[SI data compiled? Y/N],"Y",Table2[Report '#],C38)</f>
        <v>4249906</v>
      </c>
      <c r="F38" s="240">
        <f>SUMIFS(Table2[Matched funding to date],Table2[SI data compiled? Y/N],"Y",Table2[Report '#],C38)</f>
        <v>1006830.29</v>
      </c>
      <c r="G38" s="240">
        <f>SUMIFS(Table2[Matched funding planned],Table2[SI data compiled? Y/N],"Y",Table2[Report '#],C38)</f>
        <v>1626258</v>
      </c>
      <c r="H38" s="240">
        <f>SUMIFS(Table2[Mobilised funding to date],Table2[SI data compiled? Y/N],"Y",Table2[Report '#],C38)</f>
        <v>274212</v>
      </c>
      <c r="I38" s="240">
        <f>SUMIFS(Table2[Mobilised funding Planned],Table2[SI data compiled? Y/N],"Y",Table2[Report '#],C38)</f>
        <v>2200</v>
      </c>
      <c r="J38" s="78"/>
      <c r="K38" s="165"/>
    </row>
    <row r="39" spans="1:11" ht="14.25" customHeight="1" x14ac:dyDescent="0.35">
      <c r="A39" s="80"/>
      <c r="B39" s="77"/>
      <c r="C39" s="262" t="s">
        <v>36</v>
      </c>
      <c r="D39" s="283">
        <f>COUNTIFS(Table2[SI data compiled? Y/N],"Y",Table2[Report '#],C39)</f>
        <v>3</v>
      </c>
      <c r="E39" s="240">
        <f>SUMIFS(Table2[Grant value],Table2[SI data compiled? Y/N],"Y",Table2[Report '#],C39)</f>
        <v>1112890</v>
      </c>
      <c r="F39" s="240">
        <f>SUMIFS(Table2[Matched funding to date],Table2[SI data compiled? Y/N],"Y",Table2[Report '#],C39)</f>
        <v>632890</v>
      </c>
      <c r="G39" s="240">
        <f>SUMIFS(Table2[Matched funding planned],Table2[SI data compiled? Y/N],"Y",Table2[Report '#],C39)</f>
        <v>180644</v>
      </c>
      <c r="H39" s="240">
        <f>SUMIFS(Table2[Mobilised funding to date],Table2[SI data compiled? Y/N],"Y",Table2[Report '#],C39)</f>
        <v>12264</v>
      </c>
      <c r="I39" s="240">
        <f>SUMIFS(Table2[Mobilised funding Planned],Table2[SI data compiled? Y/N],"Y",Table2[Report '#],C39)</f>
        <v>0</v>
      </c>
      <c r="J39" s="78"/>
      <c r="K39" s="165"/>
    </row>
    <row r="40" spans="1:11" ht="14.25" customHeight="1" x14ac:dyDescent="0.35">
      <c r="A40" s="80"/>
      <c r="B40" s="77"/>
      <c r="C40" s="262" t="s">
        <v>37</v>
      </c>
      <c r="D40" s="283">
        <f>COUNTIFS(Table2[SI data compiled? Y/N],"Y",Table2[Report '#],C40)</f>
        <v>0</v>
      </c>
      <c r="E40" s="240">
        <f>SUMIFS(Table2[Grant value],Table2[SI data compiled? Y/N],"Y",Table2[Report '#],C40)</f>
        <v>0</v>
      </c>
      <c r="F40" s="240">
        <f>SUMIFS(Table2[Matched funding to date],Table2[SI data compiled? Y/N],"Y",Table2[Report '#],C40)</f>
        <v>0</v>
      </c>
      <c r="G40" s="240">
        <f>SUMIFS(Table2[Matched funding planned],Table2[SI data compiled? Y/N],"Y",Table2[Report '#],C40)</f>
        <v>0</v>
      </c>
      <c r="H40" s="240">
        <f>SUMIFS(Table2[Mobilised funding to date],Table2[SI data compiled? Y/N],"Y",Table2[Report '#],C40)</f>
        <v>0</v>
      </c>
      <c r="I40" s="240">
        <f>SUMIFS(Table2[Mobilised funding Planned],Table2[SI data compiled? Y/N],"Y",Table2[Report '#],C40)</f>
        <v>0</v>
      </c>
      <c r="J40" s="78"/>
      <c r="K40" s="165"/>
    </row>
    <row r="41" spans="1:11" ht="14.25" customHeight="1" x14ac:dyDescent="0.35">
      <c r="A41" s="80"/>
      <c r="B41" s="77"/>
      <c r="C41" s="259" t="s">
        <v>38</v>
      </c>
      <c r="D41" s="257">
        <f>SUM(D37:D40)</f>
        <v>29</v>
      </c>
      <c r="E41" s="291">
        <f t="shared" ref="E41:I41" si="0">SUM(E37:E40)</f>
        <v>9998302</v>
      </c>
      <c r="F41" s="291">
        <f t="shared" si="0"/>
        <v>2027265.12</v>
      </c>
      <c r="G41" s="291">
        <f t="shared" si="0"/>
        <v>2742115</v>
      </c>
      <c r="H41" s="291">
        <f t="shared" si="0"/>
        <v>378144</v>
      </c>
      <c r="I41" s="291">
        <f t="shared" si="0"/>
        <v>147332</v>
      </c>
      <c r="J41" s="78"/>
      <c r="K41" s="165"/>
    </row>
    <row r="42" spans="1:11" ht="14.25" customHeight="1" x14ac:dyDescent="0.35">
      <c r="A42" s="80"/>
      <c r="B42" s="77"/>
      <c r="C42" s="259" t="s">
        <v>39</v>
      </c>
      <c r="D42" s="257">
        <f>COUNTIFS(Table2[SI data compiled? Y/N],"Y",Table2[Report '#],C42)</f>
        <v>63</v>
      </c>
      <c r="E42" s="243">
        <f>SUMIFS(Table2[Grant value],Table2[SI data compiled? Y/N],"Y",Table2[Report '#],C42)</f>
        <v>4438801.4700000007</v>
      </c>
      <c r="F42" s="243">
        <f>SUMIFS(Table2[Matched funding to date],Table2[SI data compiled? Y/N],"Y",Table2[Report '#],C42)</f>
        <v>331489.37</v>
      </c>
      <c r="G42" s="243">
        <f>SUMIFS(Table2[Matched funding planned],Table2[SI data compiled? Y/N],"Y",Table2[Report '#],C42)</f>
        <v>99685.750000000015</v>
      </c>
      <c r="H42" s="243">
        <f>SUMIFS(Table2[Mobilised funding to date],Table2[SI data compiled? Y/N],"Y",Table2[Report '#],C42)</f>
        <v>98530</v>
      </c>
      <c r="I42" s="243">
        <f>SUMIFS(Table2[Mobilised funding Planned],Table2[SI data compiled? Y/N],"Y",Table2[Report '#],C42)</f>
        <v>0</v>
      </c>
      <c r="J42" s="78"/>
      <c r="K42" s="165"/>
    </row>
    <row r="43" spans="1:11" ht="14.25" customHeight="1" x14ac:dyDescent="0.2">
      <c r="A43" s="80"/>
      <c r="B43" s="80"/>
      <c r="C43" s="79"/>
      <c r="D43" s="79"/>
      <c r="E43" s="79"/>
      <c r="F43" s="79"/>
      <c r="G43" s="79"/>
      <c r="H43" s="79"/>
      <c r="I43" s="79"/>
      <c r="J43" s="78"/>
      <c r="K43" s="165"/>
    </row>
    <row r="44" spans="1:11" ht="14.25" customHeight="1" x14ac:dyDescent="0.2">
      <c r="A44" s="80"/>
      <c r="B44" s="80"/>
      <c r="C44" s="164" t="s">
        <v>40</v>
      </c>
      <c r="D44" s="79"/>
      <c r="E44" s="79"/>
      <c r="F44" s="79"/>
      <c r="G44" s="79"/>
      <c r="H44" s="79"/>
      <c r="I44" s="79"/>
      <c r="J44" s="78"/>
      <c r="K44" s="165"/>
    </row>
    <row r="45" spans="1:11" ht="14.25" customHeight="1" x14ac:dyDescent="0.2">
      <c r="A45" s="80"/>
      <c r="B45" s="80"/>
      <c r="C45" s="274" t="s">
        <v>41</v>
      </c>
      <c r="D45" s="275">
        <f>D27/D24</f>
        <v>0.69696969696969702</v>
      </c>
      <c r="E45" s="79"/>
      <c r="F45" s="79"/>
      <c r="G45" s="79"/>
      <c r="H45" s="79"/>
      <c r="I45" s="79"/>
      <c r="J45" s="78"/>
      <c r="K45" s="165"/>
    </row>
    <row r="46" spans="1:11" ht="14.25" customHeight="1" x14ac:dyDescent="0.2">
      <c r="A46" s="80"/>
      <c r="B46" s="80"/>
      <c r="C46" s="274" t="s">
        <v>42</v>
      </c>
      <c r="D46" s="275">
        <f>E27/E24</f>
        <v>0.57747881744819307</v>
      </c>
      <c r="E46" s="79"/>
      <c r="F46" s="79"/>
      <c r="G46" s="79"/>
      <c r="H46" s="79"/>
      <c r="I46" s="79"/>
      <c r="J46" s="78"/>
      <c r="K46" s="165"/>
    </row>
    <row r="47" spans="1:11" ht="14.25" customHeight="1" x14ac:dyDescent="0.2">
      <c r="A47" s="80"/>
      <c r="B47" s="80"/>
      <c r="C47" s="79"/>
      <c r="D47" s="79"/>
      <c r="E47" s="79"/>
      <c r="F47" s="79"/>
      <c r="G47" s="79"/>
      <c r="H47" s="79"/>
      <c r="I47" s="79"/>
      <c r="J47" s="78"/>
      <c r="K47" s="165"/>
    </row>
    <row r="48" spans="1:11" ht="14.25" customHeight="1" x14ac:dyDescent="0.2">
      <c r="A48" s="80"/>
      <c r="B48" s="80"/>
      <c r="C48" s="79"/>
      <c r="D48" s="79"/>
      <c r="E48" s="79"/>
      <c r="F48" s="79"/>
      <c r="G48" s="79"/>
      <c r="H48" s="79"/>
      <c r="I48" s="79"/>
      <c r="J48" s="78"/>
      <c r="K48" s="78"/>
    </row>
    <row r="49" spans="1:11" ht="14.25" customHeight="1" x14ac:dyDescent="0.2">
      <c r="A49" s="80"/>
      <c r="B49" s="80"/>
      <c r="C49" s="79"/>
      <c r="D49" s="79"/>
      <c r="E49" s="79"/>
      <c r="F49" s="79"/>
      <c r="G49" s="79"/>
      <c r="H49" s="79"/>
      <c r="I49" s="79"/>
      <c r="J49" s="78"/>
      <c r="K49" s="78"/>
    </row>
    <row r="50" spans="1:11" ht="14.25" customHeight="1" x14ac:dyDescent="0.2">
      <c r="A50" s="80"/>
      <c r="B50" s="80"/>
      <c r="C50" s="79"/>
      <c r="D50" s="79"/>
      <c r="E50" s="79"/>
      <c r="F50" s="79"/>
      <c r="G50" s="79"/>
      <c r="H50" s="79"/>
      <c r="I50" s="79"/>
      <c r="J50" s="78"/>
      <c r="K50" s="78"/>
    </row>
    <row r="51" spans="1:11" ht="14.25" customHeight="1" x14ac:dyDescent="0.2">
      <c r="A51" s="80"/>
      <c r="B51" s="80"/>
      <c r="C51" s="79"/>
      <c r="D51" s="79"/>
      <c r="E51" s="79"/>
      <c r="F51" s="79"/>
      <c r="G51" s="79"/>
      <c r="H51" s="79"/>
      <c r="I51" s="79"/>
      <c r="J51" s="78"/>
      <c r="K51" s="78"/>
    </row>
    <row r="52" spans="1:11" ht="14.25" customHeight="1" x14ac:dyDescent="0.2">
      <c r="A52" s="80"/>
      <c r="B52" s="80"/>
      <c r="C52" s="79"/>
      <c r="D52" s="79"/>
      <c r="E52" s="79"/>
      <c r="F52" s="79"/>
      <c r="G52" s="79"/>
      <c r="H52" s="79"/>
      <c r="I52" s="79"/>
      <c r="J52" s="78"/>
      <c r="K52" s="78"/>
    </row>
    <row r="53" spans="1:11" ht="14.25" customHeight="1" x14ac:dyDescent="0.2">
      <c r="A53" s="80"/>
      <c r="B53" s="80"/>
      <c r="C53" s="79"/>
      <c r="D53" s="79"/>
      <c r="E53" s="79"/>
      <c r="F53" s="79"/>
      <c r="G53" s="79"/>
      <c r="H53" s="79"/>
      <c r="I53" s="79"/>
      <c r="J53" s="78"/>
      <c r="K53" s="78"/>
    </row>
    <row r="54" spans="1:11" ht="14.25" customHeight="1" x14ac:dyDescent="0.2">
      <c r="A54" s="80"/>
      <c r="B54" s="80"/>
      <c r="C54" s="79"/>
      <c r="D54" s="79"/>
      <c r="E54" s="79"/>
      <c r="F54" s="79"/>
      <c r="G54" s="79"/>
      <c r="H54" s="79"/>
      <c r="I54" s="79"/>
      <c r="J54" s="78"/>
      <c r="K54" s="78"/>
    </row>
    <row r="55" spans="1:11" ht="14.25" customHeight="1" x14ac:dyDescent="0.2">
      <c r="A55" s="80"/>
      <c r="B55" s="80"/>
      <c r="C55" s="79"/>
      <c r="D55" s="79"/>
      <c r="E55" s="79"/>
      <c r="F55" s="79"/>
      <c r="G55" s="79"/>
      <c r="H55" s="79"/>
      <c r="I55" s="79"/>
      <c r="J55" s="78"/>
      <c r="K55" s="78"/>
    </row>
    <row r="56" spans="1:11" ht="14.25" customHeight="1" x14ac:dyDescent="0.2">
      <c r="A56" s="80"/>
      <c r="B56" s="80"/>
      <c r="C56" s="79"/>
      <c r="D56" s="79"/>
      <c r="E56" s="79"/>
      <c r="F56" s="79"/>
      <c r="G56" s="79"/>
      <c r="H56" s="79"/>
      <c r="I56" s="79"/>
      <c r="J56" s="78"/>
      <c r="K56" s="78"/>
    </row>
    <row r="57" spans="1:11" ht="14.25" customHeight="1" x14ac:dyDescent="0.2">
      <c r="A57" s="80"/>
      <c r="B57" s="80"/>
      <c r="C57" s="79"/>
      <c r="D57" s="79"/>
      <c r="E57" s="79"/>
      <c r="F57" s="79"/>
      <c r="G57" s="79"/>
      <c r="H57" s="79"/>
      <c r="I57" s="79"/>
      <c r="J57" s="78"/>
      <c r="K57" s="78"/>
    </row>
    <row r="58" spans="1:11" ht="14.25" customHeight="1" x14ac:dyDescent="0.2">
      <c r="A58" s="80"/>
      <c r="B58" s="80"/>
      <c r="C58" s="79"/>
      <c r="D58" s="79"/>
      <c r="E58" s="79"/>
      <c r="F58" s="79"/>
      <c r="G58" s="79"/>
      <c r="H58" s="79"/>
      <c r="I58" s="79"/>
      <c r="J58" s="78"/>
      <c r="K58" s="78"/>
    </row>
    <row r="59" spans="1:11" ht="14.25" customHeight="1" x14ac:dyDescent="0.2">
      <c r="A59" s="80"/>
      <c r="B59" s="80"/>
      <c r="C59" s="79"/>
      <c r="D59" s="79"/>
      <c r="E59" s="79"/>
      <c r="F59" s="79"/>
      <c r="G59" s="79"/>
      <c r="H59" s="79"/>
      <c r="I59" s="79"/>
      <c r="J59" s="78"/>
      <c r="K59" s="78"/>
    </row>
    <row r="60" spans="1:11" ht="14.25" customHeight="1" x14ac:dyDescent="0.2">
      <c r="A60" s="80"/>
      <c r="B60" s="80"/>
      <c r="C60" s="79"/>
      <c r="D60" s="79"/>
      <c r="E60" s="79"/>
      <c r="F60" s="79"/>
      <c r="G60" s="79"/>
      <c r="H60" s="79"/>
      <c r="I60" s="79"/>
      <c r="J60" s="78"/>
      <c r="K60" s="78"/>
    </row>
    <row r="61" spans="1:11" ht="14.25" customHeight="1" x14ac:dyDescent="0.2">
      <c r="A61" s="80"/>
      <c r="B61" s="80"/>
      <c r="C61" s="79"/>
      <c r="D61" s="79"/>
      <c r="E61" s="79"/>
      <c r="F61" s="79"/>
      <c r="G61" s="79"/>
      <c r="H61" s="79"/>
      <c r="I61" s="79"/>
      <c r="J61" s="78"/>
      <c r="K61" s="78"/>
    </row>
    <row r="62" spans="1:11" ht="14.25" customHeight="1" x14ac:dyDescent="0.2">
      <c r="A62" s="80"/>
      <c r="B62" s="80"/>
      <c r="C62" s="79"/>
      <c r="D62" s="79"/>
      <c r="E62" s="79"/>
      <c r="F62" s="79"/>
      <c r="G62" s="79"/>
      <c r="H62" s="79"/>
      <c r="I62" s="79"/>
      <c r="J62" s="78"/>
      <c r="K62" s="78"/>
    </row>
    <row r="63" spans="1:11" ht="14.25" customHeight="1" x14ac:dyDescent="0.2">
      <c r="A63" s="80"/>
      <c r="B63" s="80"/>
      <c r="C63" s="79"/>
      <c r="D63" s="79"/>
      <c r="E63" s="79"/>
      <c r="F63" s="79"/>
      <c r="G63" s="79"/>
      <c r="H63" s="79"/>
      <c r="I63" s="79"/>
      <c r="J63" s="78"/>
      <c r="K63" s="78"/>
    </row>
    <row r="64" spans="1:11" ht="14.25" customHeight="1" x14ac:dyDescent="0.2">
      <c r="A64" s="80"/>
      <c r="B64" s="80"/>
      <c r="C64" s="79"/>
      <c r="D64" s="79"/>
      <c r="E64" s="79"/>
      <c r="F64" s="79"/>
      <c r="G64" s="79"/>
      <c r="H64" s="79"/>
      <c r="I64" s="79"/>
      <c r="J64" s="78"/>
      <c r="K64" s="78"/>
    </row>
    <row r="65" spans="1:11" ht="14.25" customHeight="1" x14ac:dyDescent="0.2">
      <c r="A65" s="80"/>
      <c r="B65" s="80"/>
      <c r="C65" s="79"/>
      <c r="D65" s="79"/>
      <c r="E65" s="79"/>
      <c r="F65" s="79"/>
      <c r="G65" s="79"/>
      <c r="H65" s="79"/>
      <c r="I65" s="79"/>
      <c r="J65" s="78"/>
      <c r="K65" s="78"/>
    </row>
    <row r="66" spans="1:11" ht="14.25" customHeight="1" x14ac:dyDescent="0.2">
      <c r="A66" s="80"/>
      <c r="B66" s="80"/>
      <c r="C66" s="79"/>
      <c r="D66" s="79"/>
      <c r="E66" s="79"/>
      <c r="F66" s="79"/>
      <c r="G66" s="79"/>
      <c r="H66" s="79"/>
      <c r="I66" s="79"/>
      <c r="J66" s="78"/>
      <c r="K66" s="78"/>
    </row>
    <row r="67" spans="1:11" ht="14.25" customHeight="1" x14ac:dyDescent="0.2">
      <c r="A67" s="80"/>
      <c r="B67" s="80"/>
      <c r="C67" s="79"/>
      <c r="D67" s="79"/>
      <c r="E67" s="79"/>
      <c r="F67" s="79"/>
      <c r="G67" s="79"/>
      <c r="H67" s="79"/>
      <c r="I67" s="79"/>
      <c r="J67" s="78"/>
      <c r="K67" s="78"/>
    </row>
    <row r="68" spans="1:11" ht="14.25" customHeight="1" x14ac:dyDescent="0.2">
      <c r="A68" s="80"/>
      <c r="B68" s="80"/>
      <c r="C68" s="79"/>
      <c r="D68" s="79"/>
      <c r="E68" s="79"/>
      <c r="F68" s="79"/>
      <c r="G68" s="79"/>
      <c r="H68" s="79"/>
      <c r="I68" s="79"/>
      <c r="J68" s="78"/>
      <c r="K68" s="78"/>
    </row>
    <row r="69" spans="1:11" ht="14.25" customHeight="1" x14ac:dyDescent="0.2">
      <c r="A69" s="80"/>
      <c r="B69" s="80"/>
      <c r="C69" s="164"/>
      <c r="D69" s="79"/>
      <c r="E69" s="79"/>
      <c r="F69" s="79"/>
      <c r="G69" s="79"/>
      <c r="H69" s="79"/>
      <c r="I69" s="79"/>
      <c r="J69" s="78"/>
      <c r="K69" s="78"/>
    </row>
    <row r="70" spans="1:11" ht="14.25" customHeight="1" x14ac:dyDescent="0.25">
      <c r="A70" s="80"/>
      <c r="B70" s="80"/>
      <c r="C70" s="81" t="s">
        <v>43</v>
      </c>
      <c r="D70" s="84"/>
      <c r="E70" s="79"/>
      <c r="F70" s="103" t="s">
        <v>44</v>
      </c>
      <c r="G70" s="103" t="s">
        <v>45</v>
      </c>
      <c r="H70" s="79"/>
      <c r="I70" s="79"/>
      <c r="J70" s="78"/>
      <c r="K70" s="78"/>
    </row>
    <row r="71" spans="1:11" ht="14.25" customHeight="1" x14ac:dyDescent="0.25">
      <c r="A71" s="80"/>
      <c r="B71" s="80"/>
      <c r="C71" s="100" t="s">
        <v>46</v>
      </c>
      <c r="D71" s="100"/>
      <c r="E71" s="75"/>
      <c r="F71" s="279" cm="1">
        <f t="array" ref="F71">MIN(IF(Table2[SI data compiled? Y/N]="Y",Table2[Start date]))</f>
        <v>43922</v>
      </c>
      <c r="G71" s="279" cm="1">
        <f t="array" ref="G71">MAX(IF(Table2[SI data compiled? Y/N]="Y",Table2[Start date]))</f>
        <v>45231</v>
      </c>
      <c r="H71" s="75"/>
      <c r="I71" s="79"/>
      <c r="J71" s="78"/>
      <c r="K71" s="78"/>
    </row>
    <row r="72" spans="1:11" ht="14.25" customHeight="1" x14ac:dyDescent="0.25">
      <c r="A72" s="80"/>
      <c r="B72" s="80"/>
      <c r="C72" s="100" t="s">
        <v>47</v>
      </c>
      <c r="D72" s="100"/>
      <c r="F72" s="280" cm="1">
        <f t="array" ref="F72">MIN(IF(Table2[SI data compiled? Y/N]="Y",Table2[End date]))</f>
        <v>45046</v>
      </c>
      <c r="G72" s="280" cm="1">
        <f t="array" ref="G72">MAX(IF(Table2[SI data compiled? Y/N]="Y",Table2[End date]))</f>
        <v>46112</v>
      </c>
      <c r="H72" s="79"/>
      <c r="I72" s="79"/>
      <c r="J72" s="78"/>
      <c r="K72" s="78"/>
    </row>
    <row r="73" spans="1:11" ht="14.25" customHeight="1" x14ac:dyDescent="0.2">
      <c r="A73" s="80"/>
      <c r="B73" s="80"/>
      <c r="C73" s="79"/>
      <c r="D73" s="79"/>
      <c r="E73" s="79"/>
      <c r="F73" s="79"/>
      <c r="G73" s="79"/>
      <c r="H73" s="79"/>
      <c r="I73" s="79"/>
      <c r="J73" s="78"/>
      <c r="K73" s="78"/>
    </row>
    <row r="74" spans="1:11" ht="14.25" customHeight="1" x14ac:dyDescent="0.2">
      <c r="A74" s="80"/>
      <c r="B74" s="80"/>
      <c r="C74" s="82" t="s">
        <v>48</v>
      </c>
      <c r="D74" s="99"/>
      <c r="E74" s="99"/>
      <c r="F74" s="99"/>
      <c r="G74" s="99"/>
      <c r="H74" s="99"/>
      <c r="I74" s="99"/>
      <c r="J74" s="78"/>
      <c r="K74" s="78"/>
    </row>
    <row r="75" spans="1:11" ht="14.25" customHeight="1" x14ac:dyDescent="0.2">
      <c r="A75" s="80"/>
      <c r="B75" s="34"/>
      <c r="C75" s="164"/>
      <c r="D75" s="79"/>
      <c r="E75" s="79"/>
      <c r="F75" s="79"/>
      <c r="G75" s="79"/>
      <c r="H75" s="79"/>
      <c r="I75" s="79"/>
      <c r="J75" s="35"/>
      <c r="K75" s="78"/>
    </row>
    <row r="76" spans="1:11" ht="14.25" customHeight="1" x14ac:dyDescent="0.2">
      <c r="A76" s="80"/>
      <c r="B76" s="132">
        <v>1</v>
      </c>
      <c r="C76" s="333" t="s">
        <v>49</v>
      </c>
      <c r="D76" s="333"/>
      <c r="E76" s="333"/>
      <c r="F76" s="333"/>
      <c r="G76" s="333"/>
      <c r="H76" s="333"/>
      <c r="I76" s="333"/>
      <c r="J76" s="78"/>
      <c r="K76" s="78"/>
    </row>
    <row r="77" spans="1:11" ht="4.9000000000000004" customHeight="1" x14ac:dyDescent="0.2">
      <c r="A77" s="80"/>
      <c r="B77" s="132"/>
      <c r="C77" s="333"/>
      <c r="D77" s="333"/>
      <c r="E77" s="333"/>
      <c r="F77" s="333"/>
      <c r="G77" s="333"/>
      <c r="H77" s="333"/>
      <c r="I77" s="333"/>
      <c r="J77" s="78"/>
      <c r="K77" s="78"/>
    </row>
    <row r="78" spans="1:11" ht="14.25" customHeight="1" x14ac:dyDescent="0.2">
      <c r="A78" s="80"/>
      <c r="B78" s="132">
        <v>2</v>
      </c>
      <c r="C78" s="327" t="s">
        <v>50</v>
      </c>
      <c r="D78" s="327"/>
      <c r="E78" s="327"/>
      <c r="F78" s="327"/>
      <c r="G78" s="327"/>
      <c r="H78" s="327"/>
      <c r="I78" s="327"/>
      <c r="J78" s="78"/>
      <c r="K78" s="78"/>
    </row>
    <row r="79" spans="1:11" ht="15.6" customHeight="1" x14ac:dyDescent="0.25">
      <c r="A79" s="80"/>
      <c r="B79" s="133"/>
      <c r="C79" s="327"/>
      <c r="D79" s="327"/>
      <c r="E79" s="327"/>
      <c r="F79" s="327"/>
      <c r="G79" s="327"/>
      <c r="H79" s="327"/>
      <c r="I79" s="327"/>
      <c r="J79" s="78"/>
      <c r="K79" s="78"/>
    </row>
    <row r="80" spans="1:11" ht="14.25" customHeight="1" x14ac:dyDescent="0.25">
      <c r="A80" s="80"/>
      <c r="B80" s="133">
        <v>3</v>
      </c>
      <c r="C80" s="327" t="s">
        <v>51</v>
      </c>
      <c r="D80" s="327"/>
      <c r="E80" s="327"/>
      <c r="F80" s="327"/>
      <c r="G80" s="327"/>
      <c r="H80" s="327"/>
      <c r="I80" s="327"/>
      <c r="J80" s="78"/>
      <c r="K80" s="78"/>
    </row>
    <row r="81" spans="1:11" ht="15" customHeight="1" x14ac:dyDescent="0.25">
      <c r="A81" s="80"/>
      <c r="B81" s="133"/>
      <c r="C81" s="327"/>
      <c r="D81" s="327"/>
      <c r="E81" s="327"/>
      <c r="F81" s="327"/>
      <c r="G81" s="327"/>
      <c r="H81" s="327"/>
      <c r="I81" s="327"/>
      <c r="J81" s="78"/>
      <c r="K81" s="78"/>
    </row>
    <row r="82" spans="1:11" ht="14.25" customHeight="1" x14ac:dyDescent="0.25">
      <c r="A82" s="80"/>
      <c r="B82" s="133">
        <v>4</v>
      </c>
      <c r="C82" s="327" t="s">
        <v>52</v>
      </c>
      <c r="D82" s="327"/>
      <c r="E82" s="327"/>
      <c r="F82" s="327"/>
      <c r="G82" s="327"/>
      <c r="H82" s="327"/>
      <c r="I82" s="327"/>
      <c r="J82" s="78"/>
      <c r="K82" s="78"/>
    </row>
    <row r="83" spans="1:11" ht="14.25" customHeight="1" x14ac:dyDescent="0.25">
      <c r="A83" s="80"/>
      <c r="B83" s="131"/>
      <c r="C83" s="327"/>
      <c r="D83" s="327"/>
      <c r="E83" s="327"/>
      <c r="F83" s="327"/>
      <c r="G83" s="327"/>
      <c r="H83" s="327"/>
      <c r="I83" s="327"/>
      <c r="J83" s="78"/>
      <c r="K83" s="78"/>
    </row>
    <row r="84" spans="1:11" ht="31.15" customHeight="1" x14ac:dyDescent="0.25">
      <c r="A84" s="80"/>
      <c r="B84" s="131"/>
      <c r="C84" s="327"/>
      <c r="D84" s="327"/>
      <c r="E84" s="327"/>
      <c r="F84" s="327"/>
      <c r="G84" s="327"/>
      <c r="H84" s="327"/>
      <c r="I84" s="327"/>
      <c r="J84" s="78"/>
      <c r="K84" s="78"/>
    </row>
    <row r="85" spans="1:11" ht="14.25" customHeight="1" x14ac:dyDescent="0.25">
      <c r="A85" s="80"/>
      <c r="B85" s="133">
        <v>5</v>
      </c>
      <c r="C85" s="327" t="s">
        <v>53</v>
      </c>
      <c r="D85" s="327"/>
      <c r="E85" s="327"/>
      <c r="F85" s="327"/>
      <c r="G85" s="327"/>
      <c r="H85" s="327"/>
      <c r="I85" s="327"/>
      <c r="J85" s="78"/>
      <c r="K85" s="78"/>
    </row>
    <row r="86" spans="1:11" ht="14.25" customHeight="1" x14ac:dyDescent="0.2">
      <c r="A86" s="80"/>
      <c r="B86" s="80"/>
      <c r="C86" s="327"/>
      <c r="D86" s="327"/>
      <c r="E86" s="327"/>
      <c r="F86" s="327"/>
      <c r="G86" s="327"/>
      <c r="H86" s="327"/>
      <c r="I86" s="327"/>
      <c r="J86" s="78"/>
      <c r="K86" s="78"/>
    </row>
    <row r="87" spans="1:11" ht="31.9" customHeight="1" x14ac:dyDescent="0.2">
      <c r="A87" s="80"/>
      <c r="B87" s="80"/>
      <c r="C87" s="327"/>
      <c r="D87" s="327"/>
      <c r="E87" s="327"/>
      <c r="F87" s="327"/>
      <c r="G87" s="327"/>
      <c r="H87" s="327"/>
      <c r="I87" s="327"/>
      <c r="J87" s="78"/>
      <c r="K87" s="78"/>
    </row>
    <row r="88" spans="1:11" ht="14.25" customHeight="1" x14ac:dyDescent="0.25">
      <c r="A88" s="80"/>
      <c r="B88" s="133">
        <v>6</v>
      </c>
      <c r="C88" s="327" t="s">
        <v>54</v>
      </c>
      <c r="D88" s="327"/>
      <c r="E88" s="327"/>
      <c r="F88" s="327"/>
      <c r="G88" s="327"/>
      <c r="H88" s="327"/>
      <c r="I88" s="327"/>
      <c r="J88" s="78"/>
      <c r="K88" s="78"/>
    </row>
    <row r="89" spans="1:11" ht="14.25" customHeight="1" x14ac:dyDescent="0.2">
      <c r="A89" s="80"/>
      <c r="B89" s="80"/>
      <c r="C89" s="327"/>
      <c r="D89" s="327"/>
      <c r="E89" s="327"/>
      <c r="F89" s="327"/>
      <c r="G89" s="327"/>
      <c r="H89" s="327"/>
      <c r="I89" s="327"/>
      <c r="J89" s="78"/>
      <c r="K89" s="78"/>
    </row>
    <row r="90" spans="1:11" ht="14.25" customHeight="1" x14ac:dyDescent="0.2">
      <c r="A90" s="80"/>
      <c r="B90" s="80"/>
      <c r="C90" s="79"/>
      <c r="D90" s="79"/>
      <c r="E90" s="79"/>
      <c r="F90" s="79"/>
      <c r="G90" s="79"/>
      <c r="H90" s="79"/>
      <c r="I90" s="79"/>
      <c r="J90" s="78"/>
      <c r="K90" s="78"/>
    </row>
    <row r="91" spans="1:11" ht="14.25" customHeight="1" x14ac:dyDescent="0.2">
      <c r="A91" s="80"/>
      <c r="B91" s="80"/>
      <c r="C91" s="82" t="s">
        <v>55</v>
      </c>
      <c r="D91" s="79"/>
      <c r="E91" s="79"/>
      <c r="F91" s="79"/>
      <c r="G91" s="79"/>
      <c r="H91" s="79"/>
      <c r="I91" s="79"/>
      <c r="J91" s="78"/>
      <c r="K91" s="78"/>
    </row>
    <row r="92" spans="1:11" ht="9" customHeight="1" x14ac:dyDescent="0.2">
      <c r="A92" s="80"/>
      <c r="B92" s="80"/>
      <c r="D92" s="79"/>
      <c r="E92" s="79"/>
      <c r="F92" s="79"/>
      <c r="G92" s="79"/>
      <c r="H92" s="79"/>
      <c r="I92" s="79"/>
      <c r="J92" s="78"/>
      <c r="K92" s="78"/>
    </row>
    <row r="93" spans="1:11" ht="14.25" customHeight="1" x14ac:dyDescent="0.2">
      <c r="A93" s="80"/>
      <c r="B93" s="80"/>
      <c r="C93" s="79" t="s">
        <v>56</v>
      </c>
      <c r="D93" s="79" t="s">
        <v>57</v>
      </c>
      <c r="E93" s="79"/>
      <c r="F93" s="79"/>
      <c r="G93" s="79"/>
      <c r="H93" s="79"/>
      <c r="I93" s="79"/>
      <c r="J93" s="78"/>
      <c r="K93" s="78"/>
    </row>
    <row r="94" spans="1:11" ht="14.25" customHeight="1" x14ac:dyDescent="0.2">
      <c r="A94" s="80"/>
      <c r="B94" s="80"/>
      <c r="C94" s="79" t="s">
        <v>58</v>
      </c>
      <c r="D94" s="79" t="s">
        <v>59</v>
      </c>
      <c r="E94" s="79"/>
      <c r="F94" s="79"/>
      <c r="G94" s="79"/>
      <c r="H94" s="79"/>
      <c r="I94" s="79"/>
      <c r="J94" s="78"/>
      <c r="K94" s="78"/>
    </row>
    <row r="95" spans="1:11" ht="14.25" customHeight="1" x14ac:dyDescent="0.2">
      <c r="A95" s="80"/>
      <c r="B95" s="80"/>
      <c r="C95" s="79" t="s">
        <v>60</v>
      </c>
      <c r="D95" s="79" t="s">
        <v>61</v>
      </c>
      <c r="E95" s="79"/>
      <c r="F95" s="79"/>
      <c r="G95" s="79"/>
      <c r="H95" s="79"/>
      <c r="I95" s="79"/>
      <c r="J95" s="78"/>
      <c r="K95" s="78"/>
    </row>
    <row r="96" spans="1:11" ht="14.25" customHeight="1" x14ac:dyDescent="0.2">
      <c r="A96" s="80"/>
      <c r="B96" s="80"/>
      <c r="C96" s="79" t="s">
        <v>62</v>
      </c>
      <c r="D96" s="79" t="s">
        <v>63</v>
      </c>
      <c r="E96" s="79"/>
      <c r="F96" s="79"/>
      <c r="G96" s="79"/>
      <c r="H96" s="79"/>
      <c r="I96" s="79"/>
      <c r="J96" s="78"/>
      <c r="K96" s="78"/>
    </row>
    <row r="97" spans="1:11" ht="14.25" customHeight="1" x14ac:dyDescent="0.2">
      <c r="A97" s="80"/>
      <c r="B97" s="80"/>
      <c r="C97" s="79" t="s">
        <v>64</v>
      </c>
      <c r="D97" s="79" t="s">
        <v>65</v>
      </c>
      <c r="E97" s="79"/>
      <c r="F97" s="79"/>
      <c r="G97" s="79"/>
      <c r="H97" s="79"/>
      <c r="I97" s="79"/>
      <c r="J97" s="78"/>
      <c r="K97" s="78"/>
    </row>
    <row r="98" spans="1:11" ht="14.25" customHeight="1" x14ac:dyDescent="0.2">
      <c r="A98" s="80"/>
      <c r="B98" s="80"/>
      <c r="C98" s="79" t="s">
        <v>66</v>
      </c>
      <c r="D98" s="79" t="s">
        <v>67</v>
      </c>
      <c r="E98" s="79"/>
      <c r="F98" s="79"/>
      <c r="G98" s="79"/>
      <c r="H98" s="79"/>
      <c r="I98" s="79"/>
      <c r="J98" s="78"/>
      <c r="K98" s="78"/>
    </row>
    <row r="99" spans="1:11" ht="14.25" customHeight="1" x14ac:dyDescent="0.2">
      <c r="A99" s="80"/>
      <c r="B99" s="80"/>
      <c r="C99" s="79" t="s">
        <v>68</v>
      </c>
      <c r="D99" s="79" t="s">
        <v>69</v>
      </c>
      <c r="E99" s="79"/>
      <c r="F99" s="79"/>
      <c r="G99" s="79"/>
      <c r="H99" s="79"/>
      <c r="I99" s="79"/>
      <c r="J99" s="78"/>
      <c r="K99" s="78"/>
    </row>
    <row r="100" spans="1:11" ht="14.25" customHeight="1" x14ac:dyDescent="0.2">
      <c r="A100" s="80"/>
      <c r="B100" s="80"/>
      <c r="C100" s="79" t="s">
        <v>70</v>
      </c>
      <c r="D100" s="79" t="s">
        <v>71</v>
      </c>
      <c r="E100" s="79"/>
      <c r="F100" s="79"/>
      <c r="G100" s="79"/>
      <c r="H100" s="79"/>
      <c r="I100" s="79"/>
      <c r="J100" s="78"/>
      <c r="K100" s="78"/>
    </row>
    <row r="101" spans="1:11" ht="14.25" customHeight="1" x14ac:dyDescent="0.2">
      <c r="A101" s="80"/>
      <c r="B101" s="80"/>
      <c r="C101" s="79" t="s">
        <v>72</v>
      </c>
      <c r="D101" s="79" t="s">
        <v>73</v>
      </c>
      <c r="E101" s="79"/>
      <c r="F101" s="79"/>
      <c r="G101" s="79"/>
      <c r="H101" s="79"/>
      <c r="I101" s="79"/>
      <c r="J101" s="78"/>
      <c r="K101" s="78"/>
    </row>
    <row r="102" spans="1:11" ht="14.25" customHeight="1" x14ac:dyDescent="0.2">
      <c r="A102" s="80"/>
      <c r="B102" s="80"/>
      <c r="C102" s="79" t="s">
        <v>74</v>
      </c>
      <c r="D102" s="79" t="s">
        <v>75</v>
      </c>
      <c r="E102" s="79"/>
      <c r="F102" s="79"/>
      <c r="G102" s="79"/>
      <c r="H102" s="79"/>
      <c r="I102" s="79"/>
      <c r="J102" s="78"/>
      <c r="K102" s="78"/>
    </row>
    <row r="103" spans="1:11" ht="14.25" customHeight="1" x14ac:dyDescent="0.2">
      <c r="A103" s="80"/>
      <c r="B103" s="80"/>
      <c r="C103" s="79" t="s">
        <v>76</v>
      </c>
      <c r="D103" s="79" t="s">
        <v>77</v>
      </c>
      <c r="E103" s="79"/>
      <c r="F103" s="79"/>
      <c r="G103" s="79"/>
      <c r="H103" s="79"/>
      <c r="I103" s="79"/>
      <c r="J103" s="78"/>
      <c r="K103" s="78"/>
    </row>
    <row r="104" spans="1:11" ht="14.25" customHeight="1" x14ac:dyDescent="0.2">
      <c r="A104" s="80"/>
      <c r="B104" s="80"/>
      <c r="C104" s="79" t="s">
        <v>78</v>
      </c>
      <c r="D104" s="79" t="s">
        <v>79</v>
      </c>
      <c r="E104" s="79"/>
      <c r="F104" s="79"/>
      <c r="G104" s="79"/>
      <c r="H104" s="79"/>
      <c r="I104" s="79"/>
      <c r="J104" s="78"/>
      <c r="K104" s="78"/>
    </row>
    <row r="105" spans="1:11" ht="14.25" customHeight="1" x14ac:dyDescent="0.2">
      <c r="A105" s="80"/>
      <c r="B105" s="80"/>
      <c r="C105" s="79" t="s">
        <v>80</v>
      </c>
      <c r="D105" s="79" t="s">
        <v>81</v>
      </c>
      <c r="E105" s="79"/>
      <c r="F105" s="79"/>
      <c r="G105" s="79"/>
      <c r="H105" s="79"/>
      <c r="I105" s="79"/>
      <c r="J105" s="78"/>
      <c r="K105" s="78"/>
    </row>
    <row r="106" spans="1:11" ht="14.25" customHeight="1" x14ac:dyDescent="0.2">
      <c r="A106" s="80"/>
      <c r="B106" s="80"/>
      <c r="C106" s="79" t="s">
        <v>82</v>
      </c>
      <c r="D106" s="79" t="s">
        <v>83</v>
      </c>
      <c r="E106" s="79"/>
      <c r="F106" s="79"/>
      <c r="G106" s="79"/>
      <c r="H106" s="79"/>
      <c r="I106" s="79"/>
      <c r="J106" s="78"/>
      <c r="K106" s="78"/>
    </row>
    <row r="107" spans="1:11" ht="14.25" customHeight="1" x14ac:dyDescent="0.2">
      <c r="A107" s="80"/>
      <c r="B107" s="80"/>
      <c r="C107" s="79" t="s">
        <v>84</v>
      </c>
      <c r="D107" s="79" t="s">
        <v>85</v>
      </c>
      <c r="E107" s="79"/>
      <c r="F107" s="79"/>
      <c r="G107" s="79"/>
      <c r="H107" s="79"/>
      <c r="I107" s="79"/>
      <c r="J107" s="78"/>
      <c r="K107" s="78"/>
    </row>
    <row r="108" spans="1:11" ht="14.25" customHeight="1" x14ac:dyDescent="0.2">
      <c r="A108" s="80"/>
      <c r="B108" s="80"/>
      <c r="C108" s="79" t="s">
        <v>86</v>
      </c>
      <c r="D108" s="79" t="s">
        <v>87</v>
      </c>
      <c r="E108" s="79"/>
      <c r="F108" s="79"/>
      <c r="G108" s="79"/>
      <c r="H108" s="79"/>
      <c r="I108" s="79"/>
      <c r="J108" s="78"/>
      <c r="K108" s="78"/>
    </row>
    <row r="109" spans="1:11" ht="14.1" customHeight="1" x14ac:dyDescent="0.2">
      <c r="A109" s="80"/>
      <c r="B109" s="80"/>
      <c r="C109" s="79" t="s">
        <v>88</v>
      </c>
      <c r="D109" s="79" t="s">
        <v>89</v>
      </c>
      <c r="E109" s="79"/>
      <c r="F109" s="79"/>
      <c r="G109" s="79"/>
      <c r="H109" s="79"/>
      <c r="I109" s="79"/>
      <c r="J109" s="78"/>
      <c r="K109" s="78"/>
    </row>
    <row r="110" spans="1:11" ht="14.25" customHeight="1" x14ac:dyDescent="0.2">
      <c r="A110" s="80"/>
      <c r="B110" s="80"/>
      <c r="C110" s="79" t="s">
        <v>90</v>
      </c>
      <c r="D110" s="79" t="s">
        <v>91</v>
      </c>
      <c r="E110" s="79"/>
      <c r="F110" s="79"/>
      <c r="G110" s="79"/>
      <c r="H110" s="79"/>
      <c r="I110" s="79"/>
      <c r="J110" s="78"/>
      <c r="K110" s="78"/>
    </row>
    <row r="111" spans="1:11" ht="14.25" customHeight="1" x14ac:dyDescent="0.2">
      <c r="A111" s="80"/>
      <c r="B111" s="80"/>
      <c r="C111" s="79" t="s">
        <v>92</v>
      </c>
      <c r="D111" s="79" t="s">
        <v>93</v>
      </c>
      <c r="E111" s="79"/>
      <c r="F111" s="79"/>
      <c r="G111" s="79"/>
      <c r="H111" s="79"/>
      <c r="I111" s="79"/>
      <c r="J111" s="78"/>
      <c r="K111" s="78"/>
    </row>
    <row r="112" spans="1:11" ht="14.25" customHeight="1" x14ac:dyDescent="0.2">
      <c r="A112" s="80"/>
      <c r="B112" s="80"/>
      <c r="C112" s="79" t="s">
        <v>94</v>
      </c>
      <c r="D112" s="79" t="s">
        <v>95</v>
      </c>
      <c r="E112" s="79"/>
      <c r="F112" s="79"/>
      <c r="G112" s="79"/>
      <c r="H112" s="79"/>
      <c r="I112" s="79"/>
      <c r="J112" s="78"/>
      <c r="K112" s="78"/>
    </row>
    <row r="113" spans="1:11" ht="14.25" customHeight="1" x14ac:dyDescent="0.2">
      <c r="A113" s="80"/>
      <c r="B113" s="80"/>
      <c r="C113" s="79" t="s">
        <v>96</v>
      </c>
      <c r="D113" s="79" t="s">
        <v>97</v>
      </c>
      <c r="E113" s="79"/>
      <c r="F113" s="79"/>
      <c r="G113" s="79"/>
      <c r="H113" s="79"/>
      <c r="I113" s="79"/>
      <c r="J113" s="78"/>
      <c r="K113" s="78"/>
    </row>
    <row r="114" spans="1:11" ht="14.25" customHeight="1" x14ac:dyDescent="0.2">
      <c r="A114" s="80"/>
      <c r="B114" s="80"/>
      <c r="C114" s="79" t="s">
        <v>98</v>
      </c>
      <c r="D114" s="79" t="s">
        <v>99</v>
      </c>
      <c r="E114" s="79"/>
      <c r="F114" s="79"/>
      <c r="G114" s="79"/>
      <c r="H114" s="79"/>
      <c r="I114" s="79"/>
      <c r="J114" s="78"/>
      <c r="K114" s="78"/>
    </row>
    <row r="115" spans="1:11" ht="14.25" customHeight="1" x14ac:dyDescent="0.2">
      <c r="A115" s="80"/>
      <c r="B115" s="80"/>
      <c r="C115" s="79" t="s">
        <v>100</v>
      </c>
      <c r="D115" s="79" t="s">
        <v>101</v>
      </c>
      <c r="E115" s="79"/>
      <c r="F115" s="79"/>
      <c r="G115" s="79"/>
      <c r="H115" s="79"/>
      <c r="I115" s="79"/>
      <c r="J115" s="78"/>
      <c r="K115" s="78"/>
    </row>
    <row r="116" spans="1:11" ht="14.25" customHeight="1" x14ac:dyDescent="0.2">
      <c r="A116" s="80"/>
      <c r="B116" s="80"/>
      <c r="C116" s="79" t="s">
        <v>102</v>
      </c>
      <c r="D116" s="79" t="s">
        <v>103</v>
      </c>
      <c r="E116" s="79"/>
      <c r="F116" s="79"/>
      <c r="G116" s="79"/>
      <c r="H116" s="79"/>
      <c r="I116" s="79"/>
      <c r="J116" s="78"/>
      <c r="K116" s="78"/>
    </row>
    <row r="117" spans="1:11" ht="14.25" customHeight="1" x14ac:dyDescent="0.2">
      <c r="A117" s="80"/>
      <c r="B117" s="80"/>
      <c r="C117" s="79" t="s">
        <v>104</v>
      </c>
      <c r="D117" s="79" t="s">
        <v>105</v>
      </c>
      <c r="E117" s="79"/>
      <c r="F117" s="79"/>
      <c r="G117" s="79"/>
      <c r="H117" s="79"/>
      <c r="I117" s="79"/>
      <c r="J117" s="78"/>
      <c r="K117" s="78"/>
    </row>
    <row r="118" spans="1:11" ht="14.25" customHeight="1" x14ac:dyDescent="0.2">
      <c r="A118" s="80"/>
      <c r="B118" s="80"/>
      <c r="C118" s="79" t="s">
        <v>106</v>
      </c>
      <c r="D118" s="79" t="s">
        <v>107</v>
      </c>
      <c r="E118" s="79"/>
      <c r="F118" s="79"/>
      <c r="G118" s="79"/>
      <c r="H118" s="79"/>
      <c r="I118" s="79"/>
      <c r="J118" s="78"/>
      <c r="K118" s="78"/>
    </row>
    <row r="119" spans="1:11" ht="14.25" customHeight="1" x14ac:dyDescent="0.2">
      <c r="A119" s="80"/>
      <c r="B119" s="80"/>
      <c r="C119" s="79" t="s">
        <v>108</v>
      </c>
      <c r="D119" s="79" t="s">
        <v>109</v>
      </c>
      <c r="E119" s="79"/>
      <c r="F119" s="79"/>
      <c r="G119" s="79"/>
      <c r="H119" s="79"/>
      <c r="I119" s="79"/>
      <c r="J119" s="78"/>
      <c r="K119" s="78"/>
    </row>
    <row r="120" spans="1:11" ht="14.25" customHeight="1" x14ac:dyDescent="0.2">
      <c r="A120" s="80"/>
      <c r="B120" s="80"/>
      <c r="C120" s="79" t="s">
        <v>110</v>
      </c>
      <c r="D120" s="79" t="s">
        <v>111</v>
      </c>
      <c r="E120" s="79"/>
      <c r="F120" s="79"/>
      <c r="G120" s="79"/>
      <c r="H120" s="79"/>
      <c r="I120" s="79"/>
      <c r="J120" s="78"/>
      <c r="K120" s="78"/>
    </row>
    <row r="121" spans="1:11" ht="14.25" customHeight="1" x14ac:dyDescent="0.2">
      <c r="A121" s="80"/>
      <c r="B121" s="80"/>
      <c r="C121" s="79" t="s">
        <v>112</v>
      </c>
      <c r="D121" s="79" t="s">
        <v>113</v>
      </c>
      <c r="E121" s="79"/>
      <c r="F121" s="79"/>
      <c r="G121" s="79"/>
      <c r="H121" s="79"/>
      <c r="I121" s="79"/>
      <c r="J121" s="78"/>
      <c r="K121" s="78"/>
    </row>
    <row r="122" spans="1:11" ht="14.25" customHeight="1" x14ac:dyDescent="0.2">
      <c r="A122" s="80"/>
      <c r="B122" s="80"/>
      <c r="C122" s="79" t="s">
        <v>114</v>
      </c>
      <c r="D122" s="79" t="s">
        <v>115</v>
      </c>
      <c r="E122" s="79"/>
      <c r="F122" s="79"/>
      <c r="G122" s="79"/>
      <c r="H122" s="79"/>
      <c r="I122" s="79"/>
      <c r="J122" s="78"/>
      <c r="K122" s="78"/>
    </row>
    <row r="123" spans="1:11" ht="14.25" customHeight="1" x14ac:dyDescent="0.2">
      <c r="A123" s="80"/>
      <c r="B123" s="80"/>
      <c r="C123" s="79" t="s">
        <v>116</v>
      </c>
      <c r="D123" s="79" t="s">
        <v>117</v>
      </c>
      <c r="E123" s="79"/>
      <c r="F123" s="79"/>
      <c r="G123" s="79"/>
      <c r="H123" s="79"/>
      <c r="I123" s="79"/>
      <c r="J123" s="78"/>
      <c r="K123" s="78"/>
    </row>
    <row r="124" spans="1:11" ht="14.25" customHeight="1" x14ac:dyDescent="0.2">
      <c r="A124" s="80"/>
      <c r="B124" s="80"/>
      <c r="C124" s="79" t="s">
        <v>118</v>
      </c>
      <c r="D124" s="79" t="s">
        <v>119</v>
      </c>
      <c r="E124" s="79"/>
      <c r="F124" s="79"/>
      <c r="G124" s="79"/>
      <c r="H124" s="79"/>
      <c r="I124" s="79"/>
      <c r="J124" s="78"/>
      <c r="K124" s="78"/>
    </row>
    <row r="125" spans="1:11" ht="14.25" customHeight="1" x14ac:dyDescent="0.2">
      <c r="A125" s="80"/>
      <c r="B125" s="80"/>
      <c r="C125" s="79" t="s">
        <v>120</v>
      </c>
      <c r="D125" s="79" t="s">
        <v>121</v>
      </c>
      <c r="E125" s="79"/>
      <c r="F125" s="79"/>
      <c r="G125" s="79"/>
      <c r="H125" s="79"/>
      <c r="I125" s="79"/>
      <c r="J125" s="78"/>
      <c r="K125" s="78"/>
    </row>
    <row r="126" spans="1:11" ht="14.25" customHeight="1" x14ac:dyDescent="0.2">
      <c r="A126" s="80"/>
      <c r="B126" s="80"/>
      <c r="C126" s="79" t="s">
        <v>122</v>
      </c>
      <c r="D126" s="79" t="s">
        <v>123</v>
      </c>
      <c r="E126" s="79"/>
      <c r="F126" s="79"/>
      <c r="G126" s="79"/>
      <c r="H126" s="79"/>
      <c r="I126" s="79"/>
      <c r="J126" s="78"/>
      <c r="K126" s="78"/>
    </row>
    <row r="127" spans="1:11" ht="14.25" customHeight="1" x14ac:dyDescent="0.2">
      <c r="A127" s="80"/>
      <c r="B127" s="80"/>
      <c r="C127" s="79" t="s">
        <v>124</v>
      </c>
      <c r="D127" s="79" t="s">
        <v>125</v>
      </c>
      <c r="E127" s="79"/>
      <c r="F127" s="79"/>
      <c r="G127" s="79"/>
      <c r="H127" s="79"/>
      <c r="I127" s="79"/>
      <c r="J127" s="78"/>
      <c r="K127" s="78"/>
    </row>
    <row r="128" spans="1:11" ht="14.25" customHeight="1" x14ac:dyDescent="0.2">
      <c r="A128" s="80"/>
      <c r="B128" s="80"/>
      <c r="C128" s="79" t="s">
        <v>126</v>
      </c>
      <c r="D128" s="79" t="s">
        <v>127</v>
      </c>
      <c r="E128" s="79"/>
      <c r="F128" s="79"/>
      <c r="G128" s="79"/>
      <c r="H128" s="79"/>
      <c r="I128" s="79"/>
      <c r="J128" s="78"/>
      <c r="K128" s="78"/>
    </row>
    <row r="129" spans="1:11" ht="14.25" customHeight="1" x14ac:dyDescent="0.2">
      <c r="A129" s="80"/>
      <c r="B129" s="80"/>
      <c r="C129" s="79" t="s">
        <v>128</v>
      </c>
      <c r="D129" s="79" t="s">
        <v>129</v>
      </c>
      <c r="E129" s="79"/>
      <c r="F129" s="79"/>
      <c r="G129" s="79"/>
      <c r="H129" s="79"/>
      <c r="I129" s="79"/>
      <c r="J129" s="78"/>
      <c r="K129" s="78"/>
    </row>
    <row r="130" spans="1:11" ht="14.25" customHeight="1" x14ac:dyDescent="0.2">
      <c r="A130" s="80"/>
      <c r="B130" s="80"/>
      <c r="C130" s="79" t="s">
        <v>130</v>
      </c>
      <c r="D130" s="79" t="s">
        <v>131</v>
      </c>
      <c r="E130" s="79"/>
      <c r="F130" s="79"/>
      <c r="G130" s="79"/>
      <c r="H130" s="79"/>
      <c r="I130" s="79"/>
      <c r="J130" s="78"/>
      <c r="K130" s="78"/>
    </row>
    <row r="131" spans="1:11" ht="14.25" customHeight="1" x14ac:dyDescent="0.2">
      <c r="A131" s="80"/>
      <c r="B131" s="80"/>
      <c r="C131" s="79" t="s">
        <v>132</v>
      </c>
      <c r="D131" s="79" t="s">
        <v>133</v>
      </c>
      <c r="E131" s="79"/>
      <c r="F131" s="79"/>
      <c r="G131" s="79"/>
      <c r="H131" s="79"/>
      <c r="I131" s="79"/>
      <c r="J131" s="78"/>
      <c r="K131" s="78"/>
    </row>
    <row r="132" spans="1:11" ht="14.25" customHeight="1" x14ac:dyDescent="0.2">
      <c r="A132" s="80"/>
      <c r="B132" s="80"/>
      <c r="C132" s="79" t="s">
        <v>134</v>
      </c>
      <c r="D132" s="79" t="s">
        <v>135</v>
      </c>
      <c r="E132" s="79"/>
      <c r="F132" s="79"/>
      <c r="G132" s="79"/>
      <c r="H132" s="79"/>
      <c r="I132" s="79"/>
      <c r="J132" s="78"/>
      <c r="K132" s="78"/>
    </row>
    <row r="133" spans="1:11" ht="14.25" customHeight="1" x14ac:dyDescent="0.2">
      <c r="A133" s="80"/>
      <c r="B133" s="80"/>
      <c r="C133" s="79" t="s">
        <v>136</v>
      </c>
      <c r="D133" s="79" t="s">
        <v>137</v>
      </c>
      <c r="E133" s="79"/>
      <c r="F133" s="79"/>
      <c r="G133" s="79"/>
      <c r="H133" s="79"/>
      <c r="I133" s="79"/>
      <c r="J133" s="78"/>
      <c r="K133" s="78"/>
    </row>
    <row r="134" spans="1:11" ht="14.25" customHeight="1" x14ac:dyDescent="0.2">
      <c r="A134" s="80"/>
      <c r="B134" s="80"/>
      <c r="C134" s="79" t="s">
        <v>138</v>
      </c>
      <c r="D134" s="79" t="s">
        <v>139</v>
      </c>
      <c r="E134" s="79"/>
      <c r="F134" s="79"/>
      <c r="G134" s="79"/>
      <c r="H134" s="79"/>
      <c r="I134" s="79"/>
      <c r="J134" s="78"/>
      <c r="K134" s="78"/>
    </row>
    <row r="135" spans="1:11" ht="14.25" customHeight="1" x14ac:dyDescent="0.2">
      <c r="A135" s="80"/>
      <c r="B135" s="80"/>
      <c r="C135" s="79" t="s">
        <v>140</v>
      </c>
      <c r="D135" s="79" t="s">
        <v>141</v>
      </c>
      <c r="E135" s="79"/>
      <c r="F135" s="79"/>
      <c r="G135" s="79"/>
      <c r="H135" s="79"/>
      <c r="I135" s="79"/>
      <c r="J135" s="78"/>
      <c r="K135" s="78"/>
    </row>
    <row r="136" spans="1:11" ht="14.25" customHeight="1" x14ac:dyDescent="0.25">
      <c r="A136" s="80"/>
      <c r="B136" s="80"/>
      <c r="C136" s="100"/>
      <c r="D136" s="79"/>
      <c r="E136" s="79"/>
      <c r="F136" s="79"/>
      <c r="G136" s="79"/>
      <c r="H136" s="79"/>
      <c r="I136" s="79"/>
      <c r="J136" s="78"/>
      <c r="K136" s="78"/>
    </row>
    <row r="137" spans="1:11" ht="14.25" customHeight="1" x14ac:dyDescent="0.25">
      <c r="A137" s="80"/>
      <c r="B137" s="80"/>
      <c r="C137" s="100"/>
      <c r="D137" s="79"/>
      <c r="E137" s="79"/>
      <c r="F137" s="79"/>
      <c r="G137" s="229" t="s">
        <v>142</v>
      </c>
      <c r="H137" s="242"/>
      <c r="I137" s="230">
        <v>45597</v>
      </c>
      <c r="J137" s="78"/>
      <c r="K137" s="78"/>
    </row>
    <row r="138" spans="1:11" ht="14.25" customHeight="1" x14ac:dyDescent="0.25">
      <c r="A138" s="80"/>
      <c r="B138" s="102"/>
      <c r="C138" s="84"/>
      <c r="D138" s="99"/>
      <c r="E138" s="99"/>
      <c r="F138" s="99"/>
      <c r="G138" s="99"/>
      <c r="H138" s="99"/>
      <c r="I138" s="99"/>
      <c r="J138" s="101"/>
      <c r="K138" s="78"/>
    </row>
    <row r="139" spans="1:11" ht="14.25" customHeight="1" x14ac:dyDescent="0.25">
      <c r="A139" s="80"/>
      <c r="B139" s="79"/>
      <c r="C139" s="100"/>
      <c r="D139" s="79"/>
      <c r="E139" s="79"/>
      <c r="F139" s="79"/>
      <c r="G139" s="79"/>
      <c r="H139" s="79"/>
      <c r="I139" s="79"/>
      <c r="J139" s="79"/>
      <c r="K139" s="78"/>
    </row>
    <row r="140" spans="1:11" ht="14.25" customHeight="1" x14ac:dyDescent="0.25">
      <c r="A140" s="80"/>
      <c r="B140" s="79"/>
      <c r="C140" s="2"/>
      <c r="D140" s="79"/>
      <c r="E140" s="79"/>
      <c r="F140" s="79"/>
      <c r="G140" s="79"/>
      <c r="H140" s="79"/>
      <c r="I140" s="79"/>
      <c r="J140" s="79"/>
      <c r="K140" s="78"/>
    </row>
    <row r="141" spans="1:11" ht="14.25" customHeight="1" x14ac:dyDescent="0.25">
      <c r="A141" s="80"/>
      <c r="B141" s="79"/>
      <c r="C141" s="100"/>
      <c r="D141" s="79"/>
      <c r="E141" s="79"/>
      <c r="F141" s="79"/>
      <c r="G141" s="79"/>
      <c r="H141" s="79"/>
      <c r="I141" s="79"/>
      <c r="J141" s="79"/>
      <c r="K141" s="78"/>
    </row>
    <row r="142" spans="1:11" ht="14.25" customHeight="1" x14ac:dyDescent="0.25">
      <c r="A142" s="102"/>
      <c r="B142" s="99"/>
      <c r="C142" s="84"/>
      <c r="D142" s="99"/>
      <c r="E142" s="99"/>
      <c r="F142" s="99"/>
      <c r="G142" s="99"/>
      <c r="H142" s="99"/>
      <c r="I142" s="99"/>
      <c r="J142" s="99"/>
      <c r="K142" s="101"/>
    </row>
    <row r="143" spans="1:11" ht="14.25" customHeight="1" x14ac:dyDescent="0.25">
      <c r="C143" s="2"/>
    </row>
  </sheetData>
  <mergeCells count="14">
    <mergeCell ref="C80:I81"/>
    <mergeCell ref="C82:I84"/>
    <mergeCell ref="C85:I87"/>
    <mergeCell ref="C88:I89"/>
    <mergeCell ref="C3:I7"/>
    <mergeCell ref="D16:H16"/>
    <mergeCell ref="C78:I79"/>
    <mergeCell ref="D12:I12"/>
    <mergeCell ref="D11:I11"/>
    <mergeCell ref="D13:I13"/>
    <mergeCell ref="D14:I14"/>
    <mergeCell ref="D15:I15"/>
    <mergeCell ref="C76:I77"/>
    <mergeCell ref="D17:H17"/>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ignoredErrors>
    <ignoredError sqref="D41 E41:I41"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DC8C-7F58-44BA-B151-3E0AACA16D60}">
  <sheetPr>
    <tabColor theme="2" tint="-0.249977111117893"/>
  </sheetPr>
  <dimension ref="A1:W66"/>
  <sheetViews>
    <sheetView showRuler="0" zoomScale="90" zoomScaleNormal="90" zoomScaleSheetLayoutView="400" zoomScalePageLayoutView="90" workbookViewId="0">
      <selection activeCell="N9" sqref="N9"/>
    </sheetView>
  </sheetViews>
  <sheetFormatPr defaultColWidth="9.28515625" defaultRowHeight="14.25" customHeight="1" x14ac:dyDescent="0.25"/>
  <cols>
    <col min="1" max="1" width="9.28515625" style="1"/>
    <col min="2" max="2" width="9.7109375" style="1" bestFit="1" customWidth="1"/>
    <col min="3" max="3" width="79.85546875" style="1" customWidth="1"/>
    <col min="4" max="4" width="0" style="1" hidden="1" customWidth="1"/>
    <col min="5" max="5" width="10.42578125" style="1" hidden="1" customWidth="1"/>
    <col min="6" max="9" width="0" style="1" hidden="1" customWidth="1"/>
    <col min="10" max="18" width="9.28515625" style="1"/>
    <col min="19" max="19" width="9.28515625" style="1" bestFit="1"/>
    <col min="20" max="20" width="9.28515625" style="1"/>
    <col min="21" max="21" width="62.5703125" style="1" customWidth="1"/>
    <col min="22" max="22" width="9.28515625" style="1"/>
    <col min="24" max="16384" width="9.28515625" style="1"/>
  </cols>
  <sheetData>
    <row r="1" spans="1:22" ht="12.75" customHeight="1" x14ac:dyDescent="0.25">
      <c r="A1" s="345" t="s">
        <v>143</v>
      </c>
      <c r="B1" s="345" t="s">
        <v>144</v>
      </c>
      <c r="C1" s="345" t="s">
        <v>145</v>
      </c>
      <c r="D1" s="346" t="s">
        <v>146</v>
      </c>
      <c r="E1" s="346"/>
      <c r="F1" s="346"/>
      <c r="G1" s="346"/>
      <c r="H1" s="346"/>
      <c r="I1" s="75"/>
      <c r="J1" s="338" t="s">
        <v>147</v>
      </c>
      <c r="K1" s="339"/>
      <c r="L1" s="340"/>
      <c r="M1" s="340"/>
      <c r="N1" s="340"/>
      <c r="O1" s="75"/>
      <c r="P1" s="334" t="s">
        <v>148</v>
      </c>
      <c r="Q1" s="334"/>
      <c r="R1" s="79"/>
      <c r="S1" s="79"/>
      <c r="T1" s="79"/>
      <c r="U1" s="79"/>
      <c r="V1" s="76"/>
    </row>
    <row r="2" spans="1:22" ht="28.5" customHeight="1" x14ac:dyDescent="0.25">
      <c r="A2" s="345"/>
      <c r="B2" s="345"/>
      <c r="C2" s="345"/>
      <c r="D2" s="347" t="s">
        <v>149</v>
      </c>
      <c r="E2" s="349" t="s">
        <v>150</v>
      </c>
      <c r="F2" s="349"/>
      <c r="G2" s="349" t="s">
        <v>151</v>
      </c>
      <c r="H2" s="349"/>
      <c r="I2" s="79"/>
      <c r="J2" s="341"/>
      <c r="K2" s="342"/>
      <c r="L2" s="343"/>
      <c r="M2" s="343"/>
      <c r="N2" s="343"/>
      <c r="O2" s="79"/>
      <c r="P2" s="334"/>
      <c r="Q2" s="334"/>
      <c r="R2" s="79"/>
      <c r="S2" s="79"/>
      <c r="T2" s="79"/>
      <c r="U2" s="79"/>
      <c r="V2" s="78"/>
    </row>
    <row r="3" spans="1:22" ht="25.5" x14ac:dyDescent="0.25">
      <c r="A3" s="345"/>
      <c r="B3" s="345"/>
      <c r="C3" s="345"/>
      <c r="D3" s="348"/>
      <c r="E3" s="211" t="s">
        <v>152</v>
      </c>
      <c r="F3" s="212" t="s">
        <v>153</v>
      </c>
      <c r="G3" s="212" t="s">
        <v>152</v>
      </c>
      <c r="H3" s="213" t="s">
        <v>153</v>
      </c>
      <c r="I3" s="79"/>
      <c r="J3" s="214" t="s">
        <v>154</v>
      </c>
      <c r="K3" s="292" t="s">
        <v>155</v>
      </c>
      <c r="L3" s="214" t="s">
        <v>156</v>
      </c>
      <c r="M3" s="214" t="s">
        <v>157</v>
      </c>
      <c r="N3" s="214" t="s">
        <v>153</v>
      </c>
      <c r="O3" s="79"/>
      <c r="P3" s="301" t="s">
        <v>158</v>
      </c>
      <c r="Q3" s="301" t="s">
        <v>159</v>
      </c>
      <c r="R3" s="79"/>
      <c r="S3" s="300" t="s">
        <v>160</v>
      </c>
      <c r="T3" s="300" t="s">
        <v>161</v>
      </c>
      <c r="U3" s="300" t="s">
        <v>162</v>
      </c>
      <c r="V3" s="78"/>
    </row>
    <row r="4" spans="1:22" ht="14.25" customHeight="1" x14ac:dyDescent="0.25">
      <c r="A4" s="344" t="s">
        <v>163</v>
      </c>
      <c r="B4" s="226" t="s">
        <v>164</v>
      </c>
      <c r="C4" s="172" t="s">
        <v>165</v>
      </c>
      <c r="D4" s="210" cm="1">
        <f t="array" ref="D4">IFERROR(ROWS(_xlfn.UNIQUE(_xlfn._xlws.FILTER(Table1[Project reference], (Table1[V1.0 standard Indicator reference]=B4)))), 0)</f>
        <v>52</v>
      </c>
      <c r="E4" s="210">
        <f>SUMIFS(Table1[Total achieved to date],Table1[V1.0 standard Indicator reference],B4)</f>
        <v>730</v>
      </c>
      <c r="F4" s="295">
        <f>SUMIFS(Table1[Total achieved to date],Table1[V1.0 standard Indicator reference],B4,Table1[Gender], "Women")</f>
        <v>158</v>
      </c>
      <c r="G4" s="210">
        <f>SUMIFS(Table1[Target for full project],Table1[V1.0 standard Indicator reference],B4)</f>
        <v>498</v>
      </c>
      <c r="H4" s="295">
        <f>SUMIFS(Table1[Target for full project],Table1[V1.0 standard Indicator reference],B4,Table1[Gender], "Women")</f>
        <v>47</v>
      </c>
      <c r="I4" s="158"/>
      <c r="J4" s="210" cm="1">
        <f t="array" ref="J4">IFERROR(ROWS(_xlfn.UNIQUE(_xlfn._xlws.FILTER(Table1[Project reference],(Table1[Result for year]&gt;0)*(Table1[V1.0 standard Indicator reference]=Summary!B4)))),0)</f>
        <v>40</v>
      </c>
      <c r="K4" s="298">
        <v>240.35754918906721</v>
      </c>
      <c r="L4" s="210">
        <f>SUMIFS(Table1[Result for year],Table1[V1.0 standard Indicator reference],B4)</f>
        <v>494</v>
      </c>
      <c r="M4" s="295">
        <f>SUMIFS(Table1[Result for year],Table1[V1.0 standard Indicator reference],B4,Table1[Gender], "Men")</f>
        <v>133</v>
      </c>
      <c r="N4" s="295">
        <f>SUMIFS(Table1[Result for year],Table1[V1.0 standard Indicator reference],B4,Table1[Gender], "Women")</f>
        <v>37</v>
      </c>
      <c r="O4" s="79"/>
      <c r="P4" s="210">
        <v>602</v>
      </c>
      <c r="Q4" s="210">
        <f t="shared" ref="Q4:Q35" si="0">L4</f>
        <v>494</v>
      </c>
      <c r="R4" s="79"/>
      <c r="S4" s="304">
        <f t="shared" ref="S4:S35" si="1">IFERROR(L4/K4,"")</f>
        <v>2.0552714140524686</v>
      </c>
      <c r="T4" s="304">
        <f t="shared" ref="T4:T35" si="2">IFERROR((Q4-P4)/P4,"")</f>
        <v>-0.17940199335548174</v>
      </c>
      <c r="U4" s="79" t="s">
        <v>166</v>
      </c>
      <c r="V4" s="78"/>
    </row>
    <row r="5" spans="1:22" ht="14.25" customHeight="1" x14ac:dyDescent="0.25">
      <c r="A5" s="344"/>
      <c r="B5" s="227" t="s">
        <v>167</v>
      </c>
      <c r="C5" s="173" t="s">
        <v>168</v>
      </c>
      <c r="D5" s="210" cm="1">
        <f t="array" ref="D5">IFERROR(ROWS(_xlfn.UNIQUE(_xlfn._xlws.FILTER(Table1[Project reference], (Table1[V1.0 standard Indicator reference]=B5)))), 0)</f>
        <v>5</v>
      </c>
      <c r="E5" s="210">
        <f>SUMIFS(Table1[Total achieved to date],Table1[V1.0 standard Indicator reference],B5)</f>
        <v>4</v>
      </c>
      <c r="F5" s="295">
        <f>SUMIFS(Table1[Total achieved to date],Table1[V1.0 standard Indicator reference],B5,Table1[Gender], "Women")</f>
        <v>1</v>
      </c>
      <c r="G5" s="210">
        <f>SUMIFS(Table1[Target for full project],Table1[V1.0 standard Indicator reference],B5)</f>
        <v>11</v>
      </c>
      <c r="H5" s="295">
        <f>SUMIFS(Table1[Target for full project],Table1[V1.0 standard Indicator reference],B5,Table1[Gender], "Women")</f>
        <v>8</v>
      </c>
      <c r="I5" s="158"/>
      <c r="J5" s="210" cm="1">
        <f t="array" ref="J5">IFERROR(ROWS(_xlfn.UNIQUE(_xlfn._xlws.FILTER(Table1[Project reference],(Table1[Result for year]&gt;0)*(Table1[V1.0 standard Indicator reference]=Summary!B5)))),0)</f>
        <v>3</v>
      </c>
      <c r="K5" s="298">
        <v>0.91390703113713778</v>
      </c>
      <c r="L5" s="210">
        <f>SUMIFS(Table1[Result for year],Table1[V1.0 standard Indicator reference],B5)</f>
        <v>5</v>
      </c>
      <c r="M5" s="295">
        <f>SUMIFS(Table1[Result for year],Table1[V1.0 standard Indicator reference],B5,Table1[Gender], "Men")</f>
        <v>0</v>
      </c>
      <c r="N5" s="295">
        <f>SUMIFS(Table1[Result for year],Table1[V1.0 standard Indicator reference],B5,Table1[Gender], "Women")</f>
        <v>1</v>
      </c>
      <c r="O5" s="79"/>
      <c r="P5" s="210">
        <v>0</v>
      </c>
      <c r="Q5" s="210">
        <f t="shared" si="0"/>
        <v>5</v>
      </c>
      <c r="R5" s="79"/>
      <c r="S5" s="304">
        <f t="shared" si="1"/>
        <v>5.471016011091085</v>
      </c>
      <c r="T5" s="304" t="str">
        <f t="shared" si="2"/>
        <v/>
      </c>
      <c r="U5" s="79"/>
      <c r="V5" s="78"/>
    </row>
    <row r="6" spans="1:22" ht="14.25" customHeight="1" x14ac:dyDescent="0.25">
      <c r="A6" s="344"/>
      <c r="B6" s="227" t="s">
        <v>169</v>
      </c>
      <c r="C6" s="173" t="s">
        <v>170</v>
      </c>
      <c r="D6" s="210" cm="1">
        <f t="array" ref="D6">IFERROR(ROWS(_xlfn.UNIQUE(_xlfn._xlws.FILTER(Table1[Project reference], (Table1[V1.0 standard Indicator reference]=B6)))), 0)</f>
        <v>50</v>
      </c>
      <c r="E6" s="210">
        <f>SUMIFS(Table1[Total achieved to date],Table1[V1.0 standard Indicator reference],B6)</f>
        <v>63</v>
      </c>
      <c r="F6" s="295">
        <f>SUMIFS(Table1[Total achieved to date],Table1[V1.0 standard Indicator reference],B6,Table1[Gender], "Women")</f>
        <v>0</v>
      </c>
      <c r="G6" s="210">
        <f>SUMIFS(Table1[Target for full project],Table1[V1.0 standard Indicator reference],B6)</f>
        <v>72</v>
      </c>
      <c r="H6" s="295">
        <f>SUMIFS(Table1[Target for full project],Table1[V1.0 standard Indicator reference],B6,Table1[Gender], "Women")</f>
        <v>0</v>
      </c>
      <c r="I6" s="158"/>
      <c r="J6" s="210" cm="1">
        <f t="array" ref="J6">IFERROR(ROWS(_xlfn.UNIQUE(_xlfn._xlws.FILTER(Table1[Project reference],(Table1[Result for year]&gt;0)*(Table1[V1.0 standard Indicator reference]=Summary!B6)))),0)</f>
        <v>36</v>
      </c>
      <c r="K6" s="298">
        <v>12.109268162567075</v>
      </c>
      <c r="L6" s="210">
        <f>SUMIFS(Table1[Result for year],Table1[V1.0 standard Indicator reference],B6)</f>
        <v>81</v>
      </c>
      <c r="M6" s="295">
        <f>SUMIFS(Table1[Result for year],Table1[V1.0 standard Indicator reference],B6,Table1[Gender], "Men")</f>
        <v>0</v>
      </c>
      <c r="N6" s="295">
        <f>SUMIFS(Table1[Result for year],Table1[V1.0 standard Indicator reference],B6,Table1[Gender], "Women")</f>
        <v>0</v>
      </c>
      <c r="O6" s="79"/>
      <c r="P6" s="210">
        <v>32</v>
      </c>
      <c r="Q6" s="210">
        <f t="shared" si="0"/>
        <v>81</v>
      </c>
      <c r="R6" s="79"/>
      <c r="S6" s="304">
        <f t="shared" si="1"/>
        <v>6.6890912739377804</v>
      </c>
      <c r="T6" s="304">
        <f t="shared" si="2"/>
        <v>1.53125</v>
      </c>
      <c r="U6" s="79"/>
      <c r="V6" s="78"/>
    </row>
    <row r="7" spans="1:22" ht="14.25" customHeight="1" x14ac:dyDescent="0.25">
      <c r="A7" s="344"/>
      <c r="B7" s="227" t="s">
        <v>171</v>
      </c>
      <c r="C7" s="173" t="s">
        <v>172</v>
      </c>
      <c r="D7" s="210" cm="1">
        <f t="array" ref="D7">IFERROR(ROWS(_xlfn.UNIQUE(_xlfn._xlws.FILTER(Table1[Project reference], (Table1[V1.0 standard Indicator reference]=B7)))), 0)</f>
        <v>14</v>
      </c>
      <c r="E7" s="210">
        <f>SUMIFS(Table1[Total achieved to date],Table1[V1.0 standard Indicator reference],B7)</f>
        <v>119</v>
      </c>
      <c r="F7" s="295">
        <f>SUMIFS(Table1[Total achieved to date],Table1[V1.0 standard Indicator reference],B7,Table1[Gender], "Women")</f>
        <v>6</v>
      </c>
      <c r="G7" s="210">
        <f>SUMIFS(Table1[Target for full project],Table1[V1.0 standard Indicator reference],B7)</f>
        <v>77</v>
      </c>
      <c r="H7" s="295">
        <f>SUMIFS(Table1[Target for full project],Table1[V1.0 standard Indicator reference],B7,Table1[Gender], "Women")</f>
        <v>23</v>
      </c>
      <c r="I7" s="158"/>
      <c r="J7" s="210" cm="1">
        <f t="array" ref="J7">IFERROR(ROWS(_xlfn.UNIQUE(_xlfn._xlws.FILTER(Table1[Project reference],(Table1[Result for year]&gt;0)*(Table1[V1.0 standard Indicator reference]=Summary!B7)))),0)</f>
        <v>5</v>
      </c>
      <c r="K7" s="298">
        <v>17.364233591605618</v>
      </c>
      <c r="L7" s="210">
        <f>SUMIFS(Table1[Result for year],Table1[V1.0 standard Indicator reference],B7)</f>
        <v>23</v>
      </c>
      <c r="M7" s="295">
        <f>SUMIFS(Table1[Result for year],Table1[V1.0 standard Indicator reference],B7,Table1[Gender], "Men")</f>
        <v>1</v>
      </c>
      <c r="N7" s="295">
        <f>SUMIFS(Table1[Result for year],Table1[V1.0 standard Indicator reference],B7,Table1[Gender], "Women")</f>
        <v>12</v>
      </c>
      <c r="O7" s="79"/>
      <c r="P7" s="210">
        <v>128</v>
      </c>
      <c r="Q7" s="210">
        <f t="shared" si="0"/>
        <v>23</v>
      </c>
      <c r="R7" s="79"/>
      <c r="S7" s="304">
        <f t="shared" si="1"/>
        <v>1.3245617711062627</v>
      </c>
      <c r="T7" s="304">
        <f t="shared" si="2"/>
        <v>-0.8203125</v>
      </c>
      <c r="U7" s="79" t="s">
        <v>173</v>
      </c>
      <c r="V7" s="78"/>
    </row>
    <row r="8" spans="1:22" ht="14.25" customHeight="1" x14ac:dyDescent="0.25">
      <c r="A8" s="344"/>
      <c r="B8" s="227" t="s">
        <v>174</v>
      </c>
      <c r="C8" s="173" t="s">
        <v>175</v>
      </c>
      <c r="D8" s="210" cm="1">
        <f t="array" ref="D8">IFERROR(ROWS(_xlfn.UNIQUE(_xlfn._xlws.FILTER(Table1[Project reference], (Table1[V1.0 standard Indicator reference]=B8)))), 0)</f>
        <v>2</v>
      </c>
      <c r="E8" s="210">
        <f>SUMIFS(Table1[Total achieved to date],Table1[V1.0 standard Indicator reference],B8)</f>
        <v>7</v>
      </c>
      <c r="F8" s="295">
        <f>SUMIFS(Table1[Total achieved to date],Table1[V1.0 standard Indicator reference],B8,Table1[Gender], "Women")</f>
        <v>3</v>
      </c>
      <c r="G8" s="210">
        <f>SUMIFS(Table1[Target for full project],Table1[V1.0 standard Indicator reference],B8)</f>
        <v>10</v>
      </c>
      <c r="H8" s="295">
        <f>SUMIFS(Table1[Target for full project],Table1[V1.0 standard Indicator reference],B8,Table1[Gender], "Women")</f>
        <v>4</v>
      </c>
      <c r="I8" s="158"/>
      <c r="J8" s="210" cm="1">
        <f t="array" ref="J8">IFERROR(ROWS(_xlfn.UNIQUE(_xlfn._xlws.FILTER(Table1[Project reference],(Table1[Result for year]&gt;0)*(Table1[V1.0 standard Indicator reference]=Summary!B8)))),0)</f>
        <v>1</v>
      </c>
      <c r="K8" s="298">
        <v>2.2847675778428442</v>
      </c>
      <c r="L8" s="210">
        <f>SUMIFS(Table1[Result for year],Table1[V1.0 standard Indicator reference],B8)</f>
        <v>2</v>
      </c>
      <c r="M8" s="295">
        <f>SUMIFS(Table1[Result for year],Table1[V1.0 standard Indicator reference],B8,Table1[Gender], "Men")</f>
        <v>2</v>
      </c>
      <c r="N8" s="295">
        <f>SUMIFS(Table1[Result for year],Table1[V1.0 standard Indicator reference],B8,Table1[Gender], "Women")</f>
        <v>0</v>
      </c>
      <c r="O8" s="79"/>
      <c r="P8" s="210">
        <v>7</v>
      </c>
      <c r="Q8" s="210">
        <f t="shared" si="0"/>
        <v>2</v>
      </c>
      <c r="R8" s="79"/>
      <c r="S8" s="304">
        <f t="shared" si="1"/>
        <v>0.87536256177457372</v>
      </c>
      <c r="T8" s="304">
        <f t="shared" si="2"/>
        <v>-0.7142857142857143</v>
      </c>
      <c r="U8" s="79" t="s">
        <v>176</v>
      </c>
      <c r="V8" s="78"/>
    </row>
    <row r="9" spans="1:22" ht="14.25" customHeight="1" x14ac:dyDescent="0.25">
      <c r="A9" s="344"/>
      <c r="B9" s="227" t="s">
        <v>177</v>
      </c>
      <c r="C9" s="173" t="s">
        <v>178</v>
      </c>
      <c r="D9" s="210" cm="1">
        <f t="array" ref="D9">IFERROR(ROWS(_xlfn.UNIQUE(_xlfn._xlws.FILTER(Table1[Project reference], (Table1[V1.0 standard Indicator reference]=B9)))), 0)</f>
        <v>0</v>
      </c>
      <c r="E9" s="210">
        <f>SUMIFS(Table1[Total achieved to date],Table1[V1.0 standard Indicator reference],B9)</f>
        <v>0</v>
      </c>
      <c r="F9" s="295">
        <f>SUMIFS(Table1[Total achieved to date],Table1[V1.0 standard Indicator reference],B9,Table1[Gender], "Women")</f>
        <v>0</v>
      </c>
      <c r="G9" s="210">
        <f>SUMIFS(Table1[Target for full project],Table1[V1.0 standard Indicator reference],B9)</f>
        <v>0</v>
      </c>
      <c r="H9" s="295">
        <f>SUMIFS(Table1[Target for full project],Table1[V1.0 standard Indicator reference],B9,Table1[Gender], "Women")</f>
        <v>0</v>
      </c>
      <c r="I9" s="158"/>
      <c r="J9" s="210" cm="1">
        <f t="array" ref="J9">IFERROR(ROWS(_xlfn.UNIQUE(_xlfn._xlws.FILTER(Table1[Project reference],(Table1[Result for year]&gt;0)*(Table1[V1.0 standard Indicator reference]=Summary!B9)))),0)</f>
        <v>0</v>
      </c>
      <c r="K9" s="298">
        <v>0</v>
      </c>
      <c r="L9" s="210">
        <f>SUMIFS(Table1[Result for year],Table1[V1.0 standard Indicator reference],B9)</f>
        <v>0</v>
      </c>
      <c r="M9" s="295">
        <f>SUMIFS(Table1[Result for year],Table1[V1.0 standard Indicator reference],B9,Table1[Gender], "Men")</f>
        <v>0</v>
      </c>
      <c r="N9" s="295">
        <f>SUMIFS(Table1[Result for year],Table1[V1.0 standard Indicator reference],B9,Table1[Gender], "Women")</f>
        <v>0</v>
      </c>
      <c r="O9" s="79"/>
      <c r="P9" s="210">
        <v>0</v>
      </c>
      <c r="Q9" s="210">
        <f t="shared" si="0"/>
        <v>0</v>
      </c>
      <c r="R9" s="79"/>
      <c r="S9" s="304" t="str">
        <f t="shared" si="1"/>
        <v/>
      </c>
      <c r="T9" s="304" t="str">
        <f t="shared" si="2"/>
        <v/>
      </c>
      <c r="U9" s="79"/>
      <c r="V9" s="78"/>
    </row>
    <row r="10" spans="1:22" ht="14.25" customHeight="1" x14ac:dyDescent="0.25">
      <c r="A10" s="344"/>
      <c r="B10" s="227" t="s">
        <v>179</v>
      </c>
      <c r="C10" s="173" t="s">
        <v>180</v>
      </c>
      <c r="D10" s="210" cm="1">
        <f t="array" ref="D10">IFERROR(ROWS(_xlfn.UNIQUE(_xlfn._xlws.FILTER(Table1[Project reference], (Table1[V1.0 standard Indicator reference]=B10)))), 0)</f>
        <v>13</v>
      </c>
      <c r="E10" s="210">
        <f>SUMIFS(Table1[Total achieved to date],Table1[V1.0 standard Indicator reference],B10)</f>
        <v>28</v>
      </c>
      <c r="F10" s="295">
        <f>SUMIFS(Table1[Total achieved to date],Table1[V1.0 standard Indicator reference],B10,Table1[Gender], "Women")</f>
        <v>0</v>
      </c>
      <c r="G10" s="210">
        <f>SUMIFS(Table1[Target for full project],Table1[V1.0 standard Indicator reference],B10)</f>
        <v>34</v>
      </c>
      <c r="H10" s="295">
        <f>SUMIFS(Table1[Target for full project],Table1[V1.0 standard Indicator reference],B10,Table1[Gender], "Women")</f>
        <v>0</v>
      </c>
      <c r="I10" s="158"/>
      <c r="J10" s="210" cm="1">
        <f t="array" ref="J10">IFERROR(ROWS(_xlfn.UNIQUE(_xlfn._xlws.FILTER(Table1[Project reference],(Table1[Result for year]&gt;0)*(Table1[V1.0 standard Indicator reference]=Summary!B10)))),0)</f>
        <v>4</v>
      </c>
      <c r="K10" s="298">
        <v>3.8841048823328355</v>
      </c>
      <c r="L10" s="210">
        <f>SUMIFS(Table1[Result for year],Table1[V1.0 standard Indicator reference],B10)</f>
        <v>8</v>
      </c>
      <c r="M10" s="295">
        <f>SUMIFS(Table1[Result for year],Table1[V1.0 standard Indicator reference],B10,Table1[Gender], "Men")</f>
        <v>0</v>
      </c>
      <c r="N10" s="295">
        <f>SUMIFS(Table1[Result for year],Table1[V1.0 standard Indicator reference],B10,Table1[Gender], "Women")</f>
        <v>0</v>
      </c>
      <c r="O10" s="79"/>
      <c r="P10" s="210">
        <v>10</v>
      </c>
      <c r="Q10" s="210">
        <f t="shared" si="0"/>
        <v>8</v>
      </c>
      <c r="R10" s="79"/>
      <c r="S10" s="304">
        <f t="shared" si="1"/>
        <v>2.0596766159401736</v>
      </c>
      <c r="T10" s="304">
        <f t="shared" si="2"/>
        <v>-0.2</v>
      </c>
      <c r="U10" s="79"/>
      <c r="V10" s="78"/>
    </row>
    <row r="11" spans="1:22" ht="14.25" customHeight="1" x14ac:dyDescent="0.25">
      <c r="A11" s="344"/>
      <c r="B11" s="227" t="s">
        <v>181</v>
      </c>
      <c r="C11" s="173" t="s">
        <v>182</v>
      </c>
      <c r="D11" s="210" cm="1">
        <f t="array" ref="D11">IFERROR(ROWS(_xlfn.UNIQUE(_xlfn._xlws.FILTER(Table1[Project reference], (Table1[V1.0 standard Indicator reference]=B11)))), 0)</f>
        <v>0</v>
      </c>
      <c r="E11" s="210">
        <f>SUMIFS(Table1[Total achieved to date],Table1[V1.0 standard Indicator reference],B11)</f>
        <v>0</v>
      </c>
      <c r="F11" s="295">
        <f>SUMIFS(Table1[Total achieved to date],Table1[V1.0 standard Indicator reference],B11,Table1[Gender], "Women")</f>
        <v>0</v>
      </c>
      <c r="G11" s="210">
        <f>SUMIFS(Table1[Target for full project],Table1[V1.0 standard Indicator reference],B11)</f>
        <v>0</v>
      </c>
      <c r="H11" s="295">
        <f>SUMIFS(Table1[Target for full project],Table1[V1.0 standard Indicator reference],B11,Table1[Gender], "Women")</f>
        <v>0</v>
      </c>
      <c r="I11" s="158"/>
      <c r="J11" s="210" cm="1">
        <f t="array" ref="J11">IFERROR(ROWS(_xlfn.UNIQUE(_xlfn._xlws.FILTER(Table1[Project reference],(Table1[Result for year]&gt;0)*(Table1[V1.0 standard Indicator reference]=Summary!B11)))),0)</f>
        <v>0</v>
      </c>
      <c r="K11" s="298">
        <v>0</v>
      </c>
      <c r="L11" s="210">
        <f>SUMIFS(Table1[Result for year],Table1[V1.0 standard Indicator reference],B11)</f>
        <v>0</v>
      </c>
      <c r="M11" s="295">
        <f>SUMIFS(Table1[Result for year],Table1[V1.0 standard Indicator reference],B11,Table1[Gender], "Men")</f>
        <v>0</v>
      </c>
      <c r="N11" s="295">
        <f>SUMIFS(Table1[Result for year],Table1[V1.0 standard Indicator reference],B11,Table1[Gender], "Women")</f>
        <v>0</v>
      </c>
      <c r="O11" s="79"/>
      <c r="P11" s="210">
        <v>0</v>
      </c>
      <c r="Q11" s="210">
        <f t="shared" si="0"/>
        <v>0</v>
      </c>
      <c r="R11" s="79"/>
      <c r="S11" s="304" t="str">
        <f t="shared" si="1"/>
        <v/>
      </c>
      <c r="T11" s="304" t="str">
        <f t="shared" si="2"/>
        <v/>
      </c>
      <c r="U11" s="79"/>
      <c r="V11" s="78"/>
    </row>
    <row r="12" spans="1:22" ht="14.25" customHeight="1" x14ac:dyDescent="0.25">
      <c r="A12" s="344"/>
      <c r="B12" s="227" t="s">
        <v>183</v>
      </c>
      <c r="C12" s="173" t="s">
        <v>184</v>
      </c>
      <c r="D12" s="210" cm="1">
        <f t="array" ref="D12">IFERROR(ROWS(_xlfn.UNIQUE(_xlfn._xlws.FILTER(Table1[Project reference], (Table1[V1.0 standard Indicator reference]=B12)))), 0)</f>
        <v>0</v>
      </c>
      <c r="E12" s="210">
        <f>SUMIFS(Table1[Total achieved to date],Table1[V1.0 standard Indicator reference],B12)</f>
        <v>0</v>
      </c>
      <c r="F12" s="295">
        <f>SUMIFS(Table1[Total achieved to date],Table1[V1.0 standard Indicator reference],B12,Table1[Gender], "Women")</f>
        <v>0</v>
      </c>
      <c r="G12" s="210">
        <f>SUMIFS(Table1[Target for full project],Table1[V1.0 standard Indicator reference],B12)</f>
        <v>0</v>
      </c>
      <c r="H12" s="295">
        <f>SUMIFS(Table1[Target for full project],Table1[V1.0 standard Indicator reference],B12,Table1[Gender], "Women")</f>
        <v>0</v>
      </c>
      <c r="I12" s="158"/>
      <c r="J12" s="210" cm="1">
        <f t="array" ref="J12">IFERROR(ROWS(_xlfn.UNIQUE(_xlfn._xlws.FILTER(Table1[Project reference],(Table1[Result for year]&gt;0)*(Table1[V1.0 standard Indicator reference]=Summary!B12)))),0)</f>
        <v>0</v>
      </c>
      <c r="K12" s="298">
        <v>0</v>
      </c>
      <c r="L12" s="210">
        <f>SUMIFS(Table1[Result for year],Table1[V1.0 standard Indicator reference],B12)</f>
        <v>0</v>
      </c>
      <c r="M12" s="295">
        <f>SUMIFS(Table1[Result for year],Table1[V1.0 standard Indicator reference],B12,Table1[Gender], "Men")</f>
        <v>0</v>
      </c>
      <c r="N12" s="295">
        <f>SUMIFS(Table1[Result for year],Table1[V1.0 standard Indicator reference],B12,Table1[Gender], "Women")</f>
        <v>0</v>
      </c>
      <c r="O12" s="79"/>
      <c r="P12" s="210">
        <v>0</v>
      </c>
      <c r="Q12" s="210">
        <f t="shared" si="0"/>
        <v>0</v>
      </c>
      <c r="R12" s="79"/>
      <c r="S12" s="304" t="str">
        <f t="shared" si="1"/>
        <v/>
      </c>
      <c r="T12" s="304" t="str">
        <f t="shared" si="2"/>
        <v/>
      </c>
      <c r="U12" s="79"/>
      <c r="V12" s="78"/>
    </row>
    <row r="13" spans="1:22" ht="14.25" customHeight="1" x14ac:dyDescent="0.25">
      <c r="A13" s="344"/>
      <c r="B13" s="228" t="s">
        <v>185</v>
      </c>
      <c r="C13" s="173" t="s">
        <v>186</v>
      </c>
      <c r="D13" s="210" cm="1">
        <f t="array" ref="D13">IFERROR(ROWS(_xlfn.UNIQUE(_xlfn._xlws.FILTER(Table1[Project reference], (Table1[V1.0 standard Indicator reference]=B13)))), 0)</f>
        <v>0</v>
      </c>
      <c r="E13" s="210">
        <f>SUMIFS(Table1[Total achieved to date],Table1[V1.0 standard Indicator reference],B13)</f>
        <v>0</v>
      </c>
      <c r="F13" s="295">
        <f>SUMIFS(Table1[Total achieved to date],Table1[V1.0 standard Indicator reference],B13,Table1[Gender], "Women")</f>
        <v>0</v>
      </c>
      <c r="G13" s="210">
        <f>SUMIFS(Table1[Target for full project],Table1[V1.0 standard Indicator reference],B13)</f>
        <v>0</v>
      </c>
      <c r="H13" s="295">
        <f>SUMIFS(Table1[Target for full project],Table1[V1.0 standard Indicator reference],B13,Table1[Gender], "Women")</f>
        <v>0</v>
      </c>
      <c r="I13" s="158"/>
      <c r="J13" s="210" cm="1">
        <f t="array" ref="J13">IFERROR(ROWS(_xlfn.UNIQUE(_xlfn._xlws.FILTER(Table1[Project reference],(Table1[Result for year]&gt;0)*(Table1[V1.0 standard Indicator reference]=Summary!B13)))),0)</f>
        <v>0</v>
      </c>
      <c r="K13" s="298">
        <v>0</v>
      </c>
      <c r="L13" s="210">
        <f>SUMIFS(Table1[Result for year],Table1[V1.0 standard Indicator reference],B13)</f>
        <v>0</v>
      </c>
      <c r="M13" s="295">
        <f>SUMIFS(Table1[Result for year],Table1[V1.0 standard Indicator reference],B13,Table1[Gender], "Men")</f>
        <v>0</v>
      </c>
      <c r="N13" s="295">
        <f>SUMIFS(Table1[Result for year],Table1[V1.0 standard Indicator reference],B13,Table1[Gender], "Women")</f>
        <v>0</v>
      </c>
      <c r="O13" s="79"/>
      <c r="P13" s="210">
        <v>0</v>
      </c>
      <c r="Q13" s="210">
        <f t="shared" si="0"/>
        <v>0</v>
      </c>
      <c r="R13" s="79"/>
      <c r="S13" s="304" t="str">
        <f t="shared" si="1"/>
        <v/>
      </c>
      <c r="T13" s="304" t="str">
        <f t="shared" si="2"/>
        <v/>
      </c>
      <c r="U13" s="79"/>
      <c r="V13" s="78"/>
    </row>
    <row r="14" spans="1:22" ht="14.25" customHeight="1" x14ac:dyDescent="0.25">
      <c r="A14" s="345" t="s">
        <v>187</v>
      </c>
      <c r="B14" s="215" t="s">
        <v>188</v>
      </c>
      <c r="C14" s="218" t="s">
        <v>189</v>
      </c>
      <c r="D14" s="219" cm="1">
        <f t="array" ref="D14">IFERROR(ROWS(_xlfn.UNIQUE(_xlfn._xlws.FILTER(Table1[Project reference], (Table1[V1.0 standard Indicator reference]=B14)))), 0)</f>
        <v>21</v>
      </c>
      <c r="E14" s="219">
        <f>SUMIFS(Table1[Total achieved to date],Table1[V1.0 standard Indicator reference],B14)</f>
        <v>20</v>
      </c>
      <c r="F14" s="297">
        <f>SUMIFS(Table1[Total achieved to date],Table1[V1.0 standard Indicator reference],B14,Table1[Gender], "Women")</f>
        <v>0</v>
      </c>
      <c r="G14" s="219">
        <f>SUMIFS(Table1[Target for full project],Table1[V1.0 standard Indicator reference],B14)</f>
        <v>28</v>
      </c>
      <c r="H14" s="297">
        <f>SUMIFS(Table1[Target for full project],Table1[V1.0 standard Indicator reference],B14,Table1[Gender], "Women")</f>
        <v>0</v>
      </c>
      <c r="I14" s="158"/>
      <c r="J14" s="219" cm="1">
        <f t="array" ref="J14">IFERROR(ROWS(_xlfn.UNIQUE(_xlfn._xlws.FILTER(Table1[Project reference],(Table1[Result for year]&gt;0)*(Table1[V1.0 standard Indicator reference]=Summary!B14)))),0)</f>
        <v>11</v>
      </c>
      <c r="K14" s="298">
        <v>2.9701978511956972</v>
      </c>
      <c r="L14" s="219">
        <f>SUMIFS(Table1[Result for year],Table1[V1.0 standard Indicator reference],B14)</f>
        <v>52</v>
      </c>
      <c r="M14" s="297">
        <f>SUMIFS(Table1[Result for year],Table1[V1.0 standard Indicator reference],B14,Table1[Gender], "Men")</f>
        <v>0</v>
      </c>
      <c r="N14" s="297">
        <f>SUMIFS(Table1[Result for year],Table1[V1.0 standard Indicator reference],B14,Table1[Gender], "Women")</f>
        <v>0</v>
      </c>
      <c r="O14" s="79"/>
      <c r="P14" s="219">
        <v>7</v>
      </c>
      <c r="Q14" s="302">
        <f t="shared" si="0"/>
        <v>52</v>
      </c>
      <c r="R14" s="79"/>
      <c r="S14" s="304">
        <f t="shared" si="1"/>
        <v>17.507251235491477</v>
      </c>
      <c r="T14" s="304">
        <f t="shared" si="2"/>
        <v>6.4285714285714288</v>
      </c>
      <c r="U14" s="79"/>
      <c r="V14" s="78"/>
    </row>
    <row r="15" spans="1:22" ht="14.25" customHeight="1" x14ac:dyDescent="0.25">
      <c r="A15" s="345"/>
      <c r="B15" s="216" t="s">
        <v>190</v>
      </c>
      <c r="C15" s="220" t="s">
        <v>191</v>
      </c>
      <c r="D15" s="219" cm="1">
        <f t="array" ref="D15">IFERROR(ROWS(_xlfn.UNIQUE(_xlfn._xlws.FILTER(Table1[Project reference], (Table1[V1.0 standard Indicator reference]=B15)))), 0)</f>
        <v>15</v>
      </c>
      <c r="E15" s="219">
        <f>SUMIFS(Table1[Total achieved to date],Table1[V1.0 standard Indicator reference],B15)</f>
        <v>9</v>
      </c>
      <c r="F15" s="297">
        <f>SUMIFS(Table1[Total achieved to date],Table1[V1.0 standard Indicator reference],B15,Table1[Gender], "Women")</f>
        <v>0</v>
      </c>
      <c r="G15" s="219">
        <f>SUMIFS(Table1[Target for full project],Table1[V1.0 standard Indicator reference],B15)</f>
        <v>27</v>
      </c>
      <c r="H15" s="297">
        <f>SUMIFS(Table1[Target for full project],Table1[V1.0 standard Indicator reference],B15,Table1[Gender], "Women")</f>
        <v>0</v>
      </c>
      <c r="I15" s="158"/>
      <c r="J15" s="219" cm="1">
        <f t="array" ref="J15">IFERROR(ROWS(_xlfn.UNIQUE(_xlfn._xlws.FILTER(Table1[Project reference],(Table1[Result for year]&gt;0)*(Table1[V1.0 standard Indicator reference]=Summary!B15)))),0)</f>
        <v>3</v>
      </c>
      <c r="K15" s="298">
        <v>3.6556281245485516</v>
      </c>
      <c r="L15" s="219">
        <f>SUMIFS(Table1[Result for year],Table1[V1.0 standard Indicator reference],B15)</f>
        <v>3</v>
      </c>
      <c r="M15" s="297">
        <f>SUMIFS(Table1[Result for year],Table1[V1.0 standard Indicator reference],B15,Table1[Gender], "Men")</f>
        <v>0</v>
      </c>
      <c r="N15" s="297">
        <f>SUMIFS(Table1[Result for year],Table1[V1.0 standard Indicator reference],B15,Table1[Gender], "Women")</f>
        <v>0</v>
      </c>
      <c r="O15" s="79"/>
      <c r="P15" s="219">
        <v>1</v>
      </c>
      <c r="Q15" s="302">
        <f t="shared" si="0"/>
        <v>3</v>
      </c>
      <c r="R15" s="79"/>
      <c r="S15" s="304">
        <f t="shared" si="1"/>
        <v>0.82065240166366271</v>
      </c>
      <c r="T15" s="304">
        <f t="shared" si="2"/>
        <v>2</v>
      </c>
      <c r="U15" s="79"/>
      <c r="V15" s="78"/>
    </row>
    <row r="16" spans="1:22" ht="14.25" customHeight="1" x14ac:dyDescent="0.25">
      <c r="A16" s="345"/>
      <c r="B16" s="216" t="s">
        <v>192</v>
      </c>
      <c r="C16" s="220" t="s">
        <v>193</v>
      </c>
      <c r="D16" s="219" cm="1">
        <f t="array" ref="D16">IFERROR(ROWS(_xlfn.UNIQUE(_xlfn._xlws.FILTER(Table1[Project reference], (Table1[V1.0 standard Indicator reference]=B16)))), 0)</f>
        <v>2</v>
      </c>
      <c r="E16" s="219">
        <f>SUMIFS(Table1[Total achieved to date],Table1[V1.0 standard Indicator reference],B16)</f>
        <v>0</v>
      </c>
      <c r="F16" s="297">
        <f>SUMIFS(Table1[Total achieved to date],Table1[V1.0 standard Indicator reference],B16,Table1[Gender], "Women")</f>
        <v>0</v>
      </c>
      <c r="G16" s="219">
        <f>SUMIFS(Table1[Target for full project],Table1[V1.0 standard Indicator reference],B16)</f>
        <v>1</v>
      </c>
      <c r="H16" s="297">
        <f>SUMIFS(Table1[Target for full project],Table1[V1.0 standard Indicator reference],B16,Table1[Gender], "Women")</f>
        <v>0</v>
      </c>
      <c r="I16" s="158"/>
      <c r="J16" s="219" cm="1">
        <f t="array" ref="J16">IFERROR(ROWS(_xlfn.UNIQUE(_xlfn._xlws.FILTER(Table1[Project reference],(Table1[Result for year]&gt;0)*(Table1[V1.0 standard Indicator reference]=Summary!B16)))),0)</f>
        <v>0</v>
      </c>
      <c r="K16" s="298">
        <v>2.9701978511956972</v>
      </c>
      <c r="L16" s="219">
        <f>SUMIFS(Table1[Result for year],Table1[V1.0 standard Indicator reference],B16)</f>
        <v>0</v>
      </c>
      <c r="M16" s="297">
        <f>SUMIFS(Table1[Result for year],Table1[V1.0 standard Indicator reference],B16,Table1[Gender], "Men")</f>
        <v>0</v>
      </c>
      <c r="N16" s="297">
        <f>SUMIFS(Table1[Result for year],Table1[V1.0 standard Indicator reference],B16,Table1[Gender], "Women")</f>
        <v>0</v>
      </c>
      <c r="O16" s="79"/>
      <c r="P16" s="219">
        <v>10</v>
      </c>
      <c r="Q16" s="302">
        <f t="shared" si="0"/>
        <v>0</v>
      </c>
      <c r="R16" s="79"/>
      <c r="S16" s="304">
        <f t="shared" si="1"/>
        <v>0</v>
      </c>
      <c r="T16" s="304">
        <f t="shared" si="2"/>
        <v>-1</v>
      </c>
      <c r="U16" s="79" t="s">
        <v>194</v>
      </c>
      <c r="V16" s="78"/>
    </row>
    <row r="17" spans="1:22" ht="14.25" customHeight="1" x14ac:dyDescent="0.25">
      <c r="A17" s="345"/>
      <c r="B17" s="216" t="s">
        <v>195</v>
      </c>
      <c r="C17" s="220" t="s">
        <v>196</v>
      </c>
      <c r="D17" s="219" cm="1">
        <f t="array" ref="D17">IFERROR(ROWS(_xlfn.UNIQUE(_xlfn._xlws.FILTER(Table1[Project reference], (Table1[V1.0 standard Indicator reference]=B17)))), 0)</f>
        <v>2</v>
      </c>
      <c r="E17" s="219">
        <f>SUMIFS(Table1[Total achieved to date],Table1[V1.0 standard Indicator reference],B17)</f>
        <v>2</v>
      </c>
      <c r="F17" s="297">
        <f>SUMIFS(Table1[Total achieved to date],Table1[V1.0 standard Indicator reference],B17,Table1[Gender], "Women")</f>
        <v>0</v>
      </c>
      <c r="G17" s="219">
        <f>SUMIFS(Table1[Target for full project],Table1[V1.0 standard Indicator reference],B17)</f>
        <v>3</v>
      </c>
      <c r="H17" s="297">
        <f>SUMIFS(Table1[Target for full project],Table1[V1.0 standard Indicator reference],B17,Table1[Gender], "Women")</f>
        <v>0</v>
      </c>
      <c r="I17" s="158"/>
      <c r="J17" s="219" cm="1">
        <f t="array" ref="J17">IFERROR(ROWS(_xlfn.UNIQUE(_xlfn._xlws.FILTER(Table1[Project reference],(Table1[Result for year]&gt;0)*(Table1[V1.0 standard Indicator reference]=Summary!B17)))),0)</f>
        <v>1</v>
      </c>
      <c r="K17" s="298">
        <v>0.68543027335285323</v>
      </c>
      <c r="L17" s="219">
        <f>SUMIFS(Table1[Result for year],Table1[V1.0 standard Indicator reference],B17)</f>
        <v>2</v>
      </c>
      <c r="M17" s="297">
        <f>SUMIFS(Table1[Result for year],Table1[V1.0 standard Indicator reference],B17,Table1[Gender], "Men")</f>
        <v>0</v>
      </c>
      <c r="N17" s="297">
        <f>SUMIFS(Table1[Result for year],Table1[V1.0 standard Indicator reference],B17,Table1[Gender], "Women")</f>
        <v>0</v>
      </c>
      <c r="O17" s="79"/>
      <c r="P17" s="219">
        <v>0</v>
      </c>
      <c r="Q17" s="302">
        <f t="shared" si="0"/>
        <v>2</v>
      </c>
      <c r="R17" s="79"/>
      <c r="S17" s="304">
        <f t="shared" si="1"/>
        <v>2.9178752059152462</v>
      </c>
      <c r="T17" s="304" t="str">
        <f t="shared" si="2"/>
        <v/>
      </c>
      <c r="U17" s="79"/>
      <c r="V17" s="78"/>
    </row>
    <row r="18" spans="1:22" ht="14.25" customHeight="1" x14ac:dyDescent="0.25">
      <c r="A18" s="345"/>
      <c r="B18" s="216" t="s">
        <v>197</v>
      </c>
      <c r="C18" s="220" t="s">
        <v>198</v>
      </c>
      <c r="D18" s="219" cm="1">
        <f t="array" ref="D18">IFERROR(ROWS(_xlfn.UNIQUE(_xlfn._xlws.FILTER(Table1[Project reference], (Table1[V1.0 standard Indicator reference]=B18)))), 0)</f>
        <v>20</v>
      </c>
      <c r="E18" s="219">
        <f>SUMIFS(Table1[Total achieved to date],Table1[V1.0 standard Indicator reference],B18)</f>
        <v>938</v>
      </c>
      <c r="F18" s="297">
        <f>SUMIFS(Table1[Total achieved to date],Table1[V1.0 standard Indicator reference],B18,Table1[Gender], "Women")</f>
        <v>152</v>
      </c>
      <c r="G18" s="219">
        <f>SUMIFS(Table1[Target for full project],Table1[V1.0 standard Indicator reference],B18)</f>
        <v>929</v>
      </c>
      <c r="H18" s="297">
        <f>SUMIFS(Table1[Target for full project],Table1[V1.0 standard Indicator reference],B18,Table1[Gender], "Women")</f>
        <v>105</v>
      </c>
      <c r="I18" s="158"/>
      <c r="J18" s="219" cm="1">
        <f t="array" ref="J18">IFERROR(ROWS(_xlfn.UNIQUE(_xlfn._xlws.FILTER(Table1[Project reference],(Table1[Result for year]&gt;0)*(Table1[V1.0 standard Indicator reference]=Summary!B18)))),0)</f>
        <v>14</v>
      </c>
      <c r="K18" s="298">
        <v>25.589396871839853</v>
      </c>
      <c r="L18" s="219">
        <f>SUMIFS(Table1[Result for year],Table1[V1.0 standard Indicator reference],B18)</f>
        <v>1042</v>
      </c>
      <c r="M18" s="297">
        <f>SUMIFS(Table1[Result for year],Table1[V1.0 standard Indicator reference],B18,Table1[Gender], "Men")</f>
        <v>122</v>
      </c>
      <c r="N18" s="297">
        <f>SUMIFS(Table1[Result for year],Table1[V1.0 standard Indicator reference],B18,Table1[Gender], "Women")</f>
        <v>143</v>
      </c>
      <c r="O18" s="79"/>
      <c r="P18" s="219">
        <v>22</v>
      </c>
      <c r="Q18" s="302">
        <f t="shared" si="0"/>
        <v>1042</v>
      </c>
      <c r="R18" s="79"/>
      <c r="S18" s="304">
        <f t="shared" si="1"/>
        <v>40.719990596835089</v>
      </c>
      <c r="T18" s="304">
        <f t="shared" si="2"/>
        <v>46.363636363636367</v>
      </c>
      <c r="U18" s="308"/>
      <c r="V18" s="78"/>
    </row>
    <row r="19" spans="1:22" ht="14.25" customHeight="1" x14ac:dyDescent="0.25">
      <c r="A19" s="345"/>
      <c r="B19" s="216" t="s">
        <v>199</v>
      </c>
      <c r="C19" s="220" t="s">
        <v>200</v>
      </c>
      <c r="D19" s="219" cm="1">
        <f t="array" ref="D19">IFERROR(ROWS(_xlfn.UNIQUE(_xlfn._xlws.FILTER(Table1[Project reference], (Table1[V1.0 standard Indicator reference]=B19)))), 0)</f>
        <v>1</v>
      </c>
      <c r="E19" s="219">
        <f>SUMIFS(Table1[Total achieved to date],Table1[V1.0 standard Indicator reference],B19)</f>
        <v>8</v>
      </c>
      <c r="F19" s="297">
        <f>SUMIFS(Table1[Total achieved to date],Table1[V1.0 standard Indicator reference],B19,Table1[Gender], "Women")</f>
        <v>4</v>
      </c>
      <c r="G19" s="219">
        <f>SUMIFS(Table1[Target for full project],Table1[V1.0 standard Indicator reference],B19)</f>
        <v>8</v>
      </c>
      <c r="H19" s="297">
        <f>SUMIFS(Table1[Target for full project],Table1[V1.0 standard Indicator reference],B19,Table1[Gender], "Women")</f>
        <v>4</v>
      </c>
      <c r="I19" s="158"/>
      <c r="J19" s="219" cm="1">
        <f t="array" ref="J19">IFERROR(ROWS(_xlfn.UNIQUE(_xlfn._xlws.FILTER(Table1[Project reference],(Table1[Result for year]&gt;0)*(Table1[V1.0 standard Indicator reference]=Summary!B19)))),0)</f>
        <v>1</v>
      </c>
      <c r="K19" s="298">
        <v>0</v>
      </c>
      <c r="L19" s="219">
        <f>SUMIFS(Table1[Result for year],Table1[V1.0 standard Indicator reference],B19)</f>
        <v>8</v>
      </c>
      <c r="M19" s="297">
        <f>SUMIFS(Table1[Result for year],Table1[V1.0 standard Indicator reference],B19,Table1[Gender], "Men")</f>
        <v>4</v>
      </c>
      <c r="N19" s="297">
        <f>SUMIFS(Table1[Result for year],Table1[V1.0 standard Indicator reference],B19,Table1[Gender], "Women")</f>
        <v>4</v>
      </c>
      <c r="O19" s="79"/>
      <c r="P19" s="219">
        <v>0</v>
      </c>
      <c r="Q19" s="302">
        <f t="shared" si="0"/>
        <v>8</v>
      </c>
      <c r="R19" s="79"/>
      <c r="S19" s="304" t="str">
        <f t="shared" si="1"/>
        <v/>
      </c>
      <c r="T19" s="304" t="str">
        <f t="shared" si="2"/>
        <v/>
      </c>
      <c r="U19" s="79"/>
      <c r="V19" s="78"/>
    </row>
    <row r="20" spans="1:22" ht="14.25" customHeight="1" x14ac:dyDescent="0.25">
      <c r="A20" s="345"/>
      <c r="B20" s="216" t="s">
        <v>201</v>
      </c>
      <c r="C20" s="220" t="s">
        <v>202</v>
      </c>
      <c r="D20" s="219" cm="1">
        <f t="array" ref="D20">IFERROR(ROWS(_xlfn.UNIQUE(_xlfn._xlws.FILTER(Table1[Project reference], (Table1[V1.0 standard Indicator reference]=B20)))), 0)</f>
        <v>0</v>
      </c>
      <c r="E20" s="219">
        <f>SUMIFS(Table1[Total achieved to date],Table1[V1.0 standard Indicator reference],B20)</f>
        <v>0</v>
      </c>
      <c r="F20" s="297">
        <f>SUMIFS(Table1[Total achieved to date],Table1[V1.0 standard Indicator reference],B20,Table1[Gender], "Women")</f>
        <v>0</v>
      </c>
      <c r="G20" s="219">
        <f>SUMIFS(Table1[Target for full project],Table1[V1.0 standard Indicator reference],B20)</f>
        <v>0</v>
      </c>
      <c r="H20" s="297">
        <f>SUMIFS(Table1[Target for full project],Table1[V1.0 standard Indicator reference],B20,Table1[Gender], "Women")</f>
        <v>0</v>
      </c>
      <c r="I20" s="158"/>
      <c r="J20" s="219" cm="1">
        <f t="array" ref="J20">IFERROR(ROWS(_xlfn.UNIQUE(_xlfn._xlws.FILTER(Table1[Project reference],(Table1[Result for year]&gt;0)*(Table1[V1.0 standard Indicator reference]=Summary!B20)))),0)</f>
        <v>0</v>
      </c>
      <c r="K20" s="298">
        <v>0</v>
      </c>
      <c r="L20" s="219">
        <f>SUMIFS(Table1[Result for year],Table1[V1.0 standard Indicator reference],B20)</f>
        <v>0</v>
      </c>
      <c r="M20" s="297">
        <f>SUMIFS(Table1[Result for year],Table1[V1.0 standard Indicator reference],B20,Table1[Gender], "Men")</f>
        <v>0</v>
      </c>
      <c r="N20" s="297">
        <f>SUMIFS(Table1[Result for year],Table1[V1.0 standard Indicator reference],B20,Table1[Gender], "Women")</f>
        <v>0</v>
      </c>
      <c r="O20" s="79"/>
      <c r="P20" s="219">
        <v>0</v>
      </c>
      <c r="Q20" s="302">
        <f t="shared" si="0"/>
        <v>0</v>
      </c>
      <c r="R20" s="79"/>
      <c r="S20" s="304" t="str">
        <f t="shared" si="1"/>
        <v/>
      </c>
      <c r="T20" s="304" t="str">
        <f t="shared" si="2"/>
        <v/>
      </c>
      <c r="U20" s="79"/>
      <c r="V20" s="78"/>
    </row>
    <row r="21" spans="1:22" ht="14.25" customHeight="1" x14ac:dyDescent="0.25">
      <c r="A21" s="345"/>
      <c r="B21" s="216" t="s">
        <v>203</v>
      </c>
      <c r="C21" s="220" t="s">
        <v>204</v>
      </c>
      <c r="D21" s="219" cm="1">
        <f t="array" ref="D21">IFERROR(ROWS(_xlfn.UNIQUE(_xlfn._xlws.FILTER(Table1[Project reference], (Table1[V1.0 standard Indicator reference]=B21)))), 0)</f>
        <v>0</v>
      </c>
      <c r="E21" s="219">
        <f>SUMIFS(Table1[Total achieved to date],Table1[V1.0 standard Indicator reference],B21)</f>
        <v>0</v>
      </c>
      <c r="F21" s="297">
        <f>SUMIFS(Table1[Total achieved to date],Table1[V1.0 standard Indicator reference],B21,Table1[Gender], "Women")</f>
        <v>0</v>
      </c>
      <c r="G21" s="219">
        <f>SUMIFS(Table1[Target for full project],Table1[V1.0 standard Indicator reference],B21)</f>
        <v>0</v>
      </c>
      <c r="H21" s="297">
        <f>SUMIFS(Table1[Target for full project],Table1[V1.0 standard Indicator reference],B21,Table1[Gender], "Women")</f>
        <v>0</v>
      </c>
      <c r="I21" s="158"/>
      <c r="J21" s="219" cm="1">
        <f t="array" ref="J21">IFERROR(ROWS(_xlfn.UNIQUE(_xlfn._xlws.FILTER(Table1[Project reference],(Table1[Result for year]&gt;0)*(Table1[V1.0 standard Indicator reference]=Summary!B21)))),0)</f>
        <v>0</v>
      </c>
      <c r="K21" s="298">
        <v>0</v>
      </c>
      <c r="L21" s="219">
        <f>SUMIFS(Table1[Result for year],Table1[V1.0 standard Indicator reference],B21)</f>
        <v>0</v>
      </c>
      <c r="M21" s="297">
        <f>SUMIFS(Table1[Result for year],Table1[V1.0 standard Indicator reference],B21,Table1[Gender], "Men")</f>
        <v>0</v>
      </c>
      <c r="N21" s="297">
        <f>SUMIFS(Table1[Result for year],Table1[V1.0 standard Indicator reference],B21,Table1[Gender], "Women")</f>
        <v>0</v>
      </c>
      <c r="O21" s="79"/>
      <c r="P21" s="219">
        <v>0</v>
      </c>
      <c r="Q21" s="302">
        <f t="shared" si="0"/>
        <v>0</v>
      </c>
      <c r="R21" s="79"/>
      <c r="S21" s="304" t="str">
        <f t="shared" si="1"/>
        <v/>
      </c>
      <c r="T21" s="304" t="str">
        <f t="shared" si="2"/>
        <v/>
      </c>
      <c r="U21" s="79"/>
      <c r="V21" s="78"/>
    </row>
    <row r="22" spans="1:22" ht="14.25" customHeight="1" x14ac:dyDescent="0.25">
      <c r="A22" s="345"/>
      <c r="B22" s="216" t="s">
        <v>205</v>
      </c>
      <c r="C22" s="220" t="s">
        <v>206</v>
      </c>
      <c r="D22" s="219" cm="1">
        <f t="array" ref="D22">IFERROR(ROWS(_xlfn.UNIQUE(_xlfn._xlws.FILTER(Table1[Project reference], (Table1[V1.0 standard Indicator reference]=B22)))), 0)</f>
        <v>0</v>
      </c>
      <c r="E22" s="219">
        <f>SUMIFS(Table1[Total achieved to date],Table1[V1.0 standard Indicator reference],B22)</f>
        <v>0</v>
      </c>
      <c r="F22" s="297">
        <f>SUMIFS(Table1[Total achieved to date],Table1[V1.0 standard Indicator reference],B22,Table1[Gender], "Women")</f>
        <v>0</v>
      </c>
      <c r="G22" s="219">
        <f>SUMIFS(Table1[Target for full project],Table1[V1.0 standard Indicator reference],B22)</f>
        <v>0</v>
      </c>
      <c r="H22" s="297">
        <f>SUMIFS(Table1[Target for full project],Table1[V1.0 standard Indicator reference],B22,Table1[Gender], "Women")</f>
        <v>0</v>
      </c>
      <c r="I22" s="158"/>
      <c r="J22" s="219" cm="1">
        <f t="array" ref="J22">IFERROR(ROWS(_xlfn.UNIQUE(_xlfn._xlws.FILTER(Table1[Project reference],(Table1[Result for year]&gt;0)*(Table1[V1.0 standard Indicator reference]=Summary!B22)))),0)</f>
        <v>0</v>
      </c>
      <c r="K22" s="298">
        <v>0</v>
      </c>
      <c r="L22" s="219">
        <f>SUMIFS(Table1[Result for year],Table1[V1.0 standard Indicator reference],B22)</f>
        <v>0</v>
      </c>
      <c r="M22" s="297">
        <f>SUMIFS(Table1[Result for year],Table1[V1.0 standard Indicator reference],B22,Table1[Gender], "Men")</f>
        <v>0</v>
      </c>
      <c r="N22" s="297">
        <f>SUMIFS(Table1[Result for year],Table1[V1.0 standard Indicator reference],B22,Table1[Gender], "Women")</f>
        <v>0</v>
      </c>
      <c r="O22" s="79"/>
      <c r="P22" s="219">
        <v>0</v>
      </c>
      <c r="Q22" s="302">
        <f t="shared" si="0"/>
        <v>0</v>
      </c>
      <c r="R22" s="79"/>
      <c r="S22" s="304" t="str">
        <f t="shared" si="1"/>
        <v/>
      </c>
      <c r="T22" s="304" t="str">
        <f t="shared" si="2"/>
        <v/>
      </c>
      <c r="U22" s="79"/>
      <c r="V22" s="78"/>
    </row>
    <row r="23" spans="1:22" ht="14.25" customHeight="1" x14ac:dyDescent="0.25">
      <c r="A23" s="345"/>
      <c r="B23" s="216" t="s">
        <v>207</v>
      </c>
      <c r="C23" s="220" t="s">
        <v>208</v>
      </c>
      <c r="D23" s="219" cm="1">
        <f t="array" ref="D23">IFERROR(ROWS(_xlfn.UNIQUE(_xlfn._xlws.FILTER(Table1[Project reference], (Table1[V1.0 standard Indicator reference]=B23)))), 0)</f>
        <v>1</v>
      </c>
      <c r="E23" s="219">
        <f>SUMIFS(Table1[Total achieved to date],Table1[V1.0 standard Indicator reference],B23)</f>
        <v>5</v>
      </c>
      <c r="F23" s="297">
        <f>SUMIFS(Table1[Total achieved to date],Table1[V1.0 standard Indicator reference],B23,Table1[Gender], "Women")</f>
        <v>0</v>
      </c>
      <c r="G23" s="219">
        <f>SUMIFS(Table1[Target for full project],Table1[V1.0 standard Indicator reference],B23)</f>
        <v>20</v>
      </c>
      <c r="H23" s="297">
        <f>SUMIFS(Table1[Target for full project],Table1[V1.0 standard Indicator reference],B23,Table1[Gender], "Women")</f>
        <v>0</v>
      </c>
      <c r="I23" s="158"/>
      <c r="J23" s="219" cm="1">
        <f t="array" ref="J23">IFERROR(ROWS(_xlfn.UNIQUE(_xlfn._xlws.FILTER(Table1[Project reference],(Table1[Result for year]&gt;0)*(Table1[V1.0 standard Indicator reference]=Summary!B23)))),0)</f>
        <v>0</v>
      </c>
      <c r="K23" s="298">
        <v>4.5695351556856894</v>
      </c>
      <c r="L23" s="219">
        <f>SUMIFS(Table1[Result for year],Table1[V1.0 standard Indicator reference],B23)</f>
        <v>0</v>
      </c>
      <c r="M23" s="297">
        <f>SUMIFS(Table1[Result for year],Table1[V1.0 standard Indicator reference],B23,Table1[Gender], "Men")</f>
        <v>0</v>
      </c>
      <c r="N23" s="297">
        <f>SUMIFS(Table1[Result for year],Table1[V1.0 standard Indicator reference],B23,Table1[Gender], "Women")</f>
        <v>0</v>
      </c>
      <c r="O23" s="79"/>
      <c r="P23" s="219">
        <v>5</v>
      </c>
      <c r="Q23" s="302">
        <f t="shared" si="0"/>
        <v>0</v>
      </c>
      <c r="R23" s="79"/>
      <c r="S23" s="304">
        <f t="shared" si="1"/>
        <v>0</v>
      </c>
      <c r="T23" s="304">
        <f t="shared" si="2"/>
        <v>-1</v>
      </c>
      <c r="U23" s="79" t="s">
        <v>209</v>
      </c>
      <c r="V23" s="78"/>
    </row>
    <row r="24" spans="1:22" ht="14.25" customHeight="1" x14ac:dyDescent="0.25">
      <c r="A24" s="345"/>
      <c r="B24" s="216" t="s">
        <v>210</v>
      </c>
      <c r="C24" s="220" t="s">
        <v>211</v>
      </c>
      <c r="D24" s="219" cm="1">
        <f t="array" ref="D24">IFERROR(ROWS(_xlfn.UNIQUE(_xlfn._xlws.FILTER(Table1[Project reference], (Table1[V1.0 standard Indicator reference]=B24)))), 0)</f>
        <v>7</v>
      </c>
      <c r="E24" s="219">
        <f>SUMIFS(Table1[Total achieved to date],Table1[V1.0 standard Indicator reference],B24)</f>
        <v>15625</v>
      </c>
      <c r="F24" s="297">
        <f>SUMIFS(Table1[Total achieved to date],Table1[V1.0 standard Indicator reference],B24,Table1[Gender], "Women")</f>
        <v>0</v>
      </c>
      <c r="G24" s="219">
        <f>SUMIFS(Table1[Target for full project],Table1[V1.0 standard Indicator reference],B24)</f>
        <v>84225</v>
      </c>
      <c r="H24" s="297">
        <f>SUMIFS(Table1[Target for full project],Table1[V1.0 standard Indicator reference],B24,Table1[Gender], "Women")</f>
        <v>0</v>
      </c>
      <c r="I24" s="158"/>
      <c r="J24" s="219" cm="1">
        <f t="array" ref="J24">IFERROR(ROWS(_xlfn.UNIQUE(_xlfn._xlws.FILTER(Table1[Project reference],(Table1[Result for year]&gt;0)*(Table1[V1.0 standard Indicator reference]=Summary!B24)))),0)</f>
        <v>1</v>
      </c>
      <c r="K24" s="298">
        <v>0</v>
      </c>
      <c r="L24" s="219">
        <f>SUMIFS(Table1[Result for year],Table1[V1.0 standard Indicator reference],B24)</f>
        <v>3</v>
      </c>
      <c r="M24" s="297">
        <f>SUMIFS(Table1[Result for year],Table1[V1.0 standard Indicator reference],B24,Table1[Gender], "Men")</f>
        <v>0</v>
      </c>
      <c r="N24" s="297">
        <f>SUMIFS(Table1[Result for year],Table1[V1.0 standard Indicator reference],B24,Table1[Gender], "Women")</f>
        <v>0</v>
      </c>
      <c r="O24" s="79"/>
      <c r="P24" s="219">
        <v>0</v>
      </c>
      <c r="Q24" s="302">
        <f t="shared" si="0"/>
        <v>3</v>
      </c>
      <c r="R24" s="79"/>
      <c r="S24" s="304" t="str">
        <f t="shared" si="1"/>
        <v/>
      </c>
      <c r="T24" s="304" t="str">
        <f t="shared" si="2"/>
        <v/>
      </c>
      <c r="U24" s="79"/>
      <c r="V24" s="78"/>
    </row>
    <row r="25" spans="1:22" ht="14.25" customHeight="1" x14ac:dyDescent="0.25">
      <c r="A25" s="345"/>
      <c r="B25" s="217" t="s">
        <v>212</v>
      </c>
      <c r="C25" s="221" t="s">
        <v>213</v>
      </c>
      <c r="D25" s="219" cm="1">
        <f t="array" ref="D25">IFERROR(ROWS(_xlfn.UNIQUE(_xlfn._xlws.FILTER(Table1[Project reference], (Table1[V1.0 standard Indicator reference]=B25)))), 0)</f>
        <v>0</v>
      </c>
      <c r="E25" s="219">
        <f>SUMIFS(Table1[Total achieved to date],Table1[V1.0 standard Indicator reference],B25)</f>
        <v>0</v>
      </c>
      <c r="F25" s="297">
        <f>SUMIFS(Table1[Total achieved to date],Table1[V1.0 standard Indicator reference],B25,Table1[Gender], "Women")</f>
        <v>0</v>
      </c>
      <c r="G25" s="219">
        <f>SUMIFS(Table1[Target for full project],Table1[V1.0 standard Indicator reference],B25)</f>
        <v>0</v>
      </c>
      <c r="H25" s="297">
        <f>SUMIFS(Table1[Target for full project],Table1[V1.0 standard Indicator reference],B25,Table1[Gender], "Women")</f>
        <v>0</v>
      </c>
      <c r="I25" s="158"/>
      <c r="J25" s="219" cm="1">
        <f t="array" ref="J25">IFERROR(ROWS(_xlfn.UNIQUE(_xlfn._xlws.FILTER(Table1[Project reference],(Table1[Result for year]&gt;0)*(Table1[V1.0 standard Indicator reference]=Summary!B25)))),0)</f>
        <v>0</v>
      </c>
      <c r="K25" s="298">
        <v>0</v>
      </c>
      <c r="L25" s="219">
        <f>SUMIFS(Table1[Result for year],Table1[V1.0 standard Indicator reference],B25)</f>
        <v>0</v>
      </c>
      <c r="M25" s="297">
        <f>SUMIFS(Table1[Result for year],Table1[V1.0 standard Indicator reference],B25,Table1[Gender], "Men")</f>
        <v>0</v>
      </c>
      <c r="N25" s="297">
        <f>SUMIFS(Table1[Result for year],Table1[V1.0 standard Indicator reference],B25,Table1[Gender], "Women")</f>
        <v>0</v>
      </c>
      <c r="O25" s="79"/>
      <c r="P25" s="219">
        <v>0</v>
      </c>
      <c r="Q25" s="302">
        <f t="shared" si="0"/>
        <v>0</v>
      </c>
      <c r="R25" s="79"/>
      <c r="S25" s="304" t="str">
        <f t="shared" si="1"/>
        <v/>
      </c>
      <c r="T25" s="304" t="str">
        <f t="shared" si="2"/>
        <v/>
      </c>
      <c r="U25" s="79"/>
      <c r="V25" s="78"/>
    </row>
    <row r="26" spans="1:22" ht="14.25" customHeight="1" x14ac:dyDescent="0.25">
      <c r="A26" s="344" t="s">
        <v>214</v>
      </c>
      <c r="B26" s="226" t="s">
        <v>215</v>
      </c>
      <c r="C26" s="222" t="s">
        <v>216</v>
      </c>
      <c r="D26" s="210" cm="1">
        <f t="array" ref="D26">IFERROR(ROWS(_xlfn.UNIQUE(_xlfn._xlws.FILTER(Table1[Project reference], (Table1[V1.0 standard Indicator reference]=B26)))), 0)</f>
        <v>33</v>
      </c>
      <c r="E26" s="210">
        <f>SUMIFS(Table1[Total achieved to date],Table1[V1.0 standard Indicator reference],B26)</f>
        <v>70</v>
      </c>
      <c r="F26" s="295">
        <f>SUMIFS(Table1[Total achieved to date],Table1[V1.0 standard Indicator reference],B26,Table1[Gender], "Women")</f>
        <v>0</v>
      </c>
      <c r="G26" s="210">
        <f>SUMIFS(Table1[Target for full project],Table1[V1.0 standard Indicator reference],B26)</f>
        <v>61</v>
      </c>
      <c r="H26" s="295">
        <f>SUMIFS(Table1[Target for full project],Table1[V1.0 standard Indicator reference],B26,Table1[Gender], "Women")</f>
        <v>0</v>
      </c>
      <c r="I26" s="158"/>
      <c r="J26" s="210" cm="1">
        <f t="array" ref="J26">IFERROR(ROWS(_xlfn.UNIQUE(_xlfn._xlws.FILTER(Table1[Project reference],(Table1[Result for year]&gt;0)*(Table1[V1.0 standard Indicator reference]=Summary!B26)))),0)</f>
        <v>24</v>
      </c>
      <c r="K26" s="298">
        <v>9.3675470691556608</v>
      </c>
      <c r="L26" s="210">
        <f>SUMIFS(Table1[Result for year],Table1[V1.0 standard Indicator reference],B26)</f>
        <v>70</v>
      </c>
      <c r="M26" s="295">
        <f>SUMIFS(Table1[Result for year],Table1[V1.0 standard Indicator reference],B26,Table1[Gender], "Men")</f>
        <v>0</v>
      </c>
      <c r="N26" s="295">
        <f>SUMIFS(Table1[Result for year],Table1[V1.0 standard Indicator reference],B26,Table1[Gender], "Women")</f>
        <v>0</v>
      </c>
      <c r="O26" s="79"/>
      <c r="P26" s="210">
        <v>38</v>
      </c>
      <c r="Q26" s="210">
        <f t="shared" si="0"/>
        <v>70</v>
      </c>
      <c r="R26" s="79"/>
      <c r="S26" s="304">
        <f t="shared" si="1"/>
        <v>7.4726072346609955</v>
      </c>
      <c r="T26" s="304">
        <f t="shared" si="2"/>
        <v>0.84210526315789469</v>
      </c>
      <c r="U26" s="79"/>
      <c r="V26" s="78"/>
    </row>
    <row r="27" spans="1:22" ht="14.25" customHeight="1" x14ac:dyDescent="0.25">
      <c r="A27" s="344"/>
      <c r="B27" s="227" t="s">
        <v>217</v>
      </c>
      <c r="C27" s="223" t="s">
        <v>218</v>
      </c>
      <c r="D27" s="210" cm="1">
        <f t="array" ref="D27">IFERROR(ROWS(_xlfn.UNIQUE(_xlfn._xlws.FILTER(Table1[Project reference], (Table1[V1.0 standard Indicator reference]=B27)))), 0)</f>
        <v>15</v>
      </c>
      <c r="E27" s="210">
        <f>SUMIFS(Table1[Total achieved to date],Table1[V1.0 standard Indicator reference],B27)</f>
        <v>214</v>
      </c>
      <c r="F27" s="295">
        <f>SUMIFS(Table1[Total achieved to date],Table1[V1.0 standard Indicator reference],B27,Table1[Gender], "Women")</f>
        <v>0</v>
      </c>
      <c r="G27" s="210">
        <f>SUMIFS(Table1[Target for full project],Table1[V1.0 standard Indicator reference],B27)</f>
        <v>81</v>
      </c>
      <c r="H27" s="295">
        <f>SUMIFS(Table1[Target for full project],Table1[V1.0 standard Indicator reference],B27,Table1[Gender], "Women")</f>
        <v>0</v>
      </c>
      <c r="I27" s="158"/>
      <c r="J27" s="210" cm="1">
        <f t="array" ref="J27">IFERROR(ROWS(_xlfn.UNIQUE(_xlfn._xlws.FILTER(Table1[Project reference],(Table1[Result for year]&gt;0)*(Table1[V1.0 standard Indicator reference]=Summary!B27)))),0)</f>
        <v>10</v>
      </c>
      <c r="K27" s="298">
        <v>9.5960238269399465</v>
      </c>
      <c r="L27" s="210">
        <f>SUMIFS(Table1[Result for year],Table1[V1.0 standard Indicator reference],B27)</f>
        <v>165</v>
      </c>
      <c r="M27" s="295">
        <f>SUMIFS(Table1[Result for year],Table1[V1.0 standard Indicator reference],B27,Table1[Gender], "Men")</f>
        <v>0</v>
      </c>
      <c r="N27" s="295">
        <f>SUMIFS(Table1[Result for year],Table1[V1.0 standard Indicator reference],B27,Table1[Gender], "Women")</f>
        <v>0</v>
      </c>
      <c r="O27" s="79"/>
      <c r="P27" s="210">
        <v>0</v>
      </c>
      <c r="Q27" s="210">
        <f t="shared" si="0"/>
        <v>165</v>
      </c>
      <c r="R27" s="79"/>
      <c r="S27" s="304">
        <f t="shared" si="1"/>
        <v>17.194621749143412</v>
      </c>
      <c r="T27" s="304" t="str">
        <f t="shared" si="2"/>
        <v/>
      </c>
      <c r="U27" s="307"/>
      <c r="V27" s="78"/>
    </row>
    <row r="28" spans="1:22" ht="14.25" customHeight="1" x14ac:dyDescent="0.25">
      <c r="A28" s="344"/>
      <c r="B28" s="227" t="s">
        <v>219</v>
      </c>
      <c r="C28" s="223" t="s">
        <v>220</v>
      </c>
      <c r="D28" s="210" cm="1">
        <f t="array" ref="D28">IFERROR(ROWS(_xlfn.UNIQUE(_xlfn._xlws.FILTER(Table1[Project reference], (Table1[V1.0 standard Indicator reference]=B28)))), 0)</f>
        <v>11</v>
      </c>
      <c r="E28" s="210">
        <f>SUMIFS(Table1[Total achieved to date],Table1[V1.0 standard Indicator reference],B28)</f>
        <v>3</v>
      </c>
      <c r="F28" s="295">
        <f>SUMIFS(Table1[Total achieved to date],Table1[V1.0 standard Indicator reference],B28,Table1[Gender], "Women")</f>
        <v>0</v>
      </c>
      <c r="G28" s="210">
        <f>SUMIFS(Table1[Target for full project],Table1[V1.0 standard Indicator reference],B28)</f>
        <v>8</v>
      </c>
      <c r="H28" s="295">
        <f>SUMIFS(Table1[Target for full project],Table1[V1.0 standard Indicator reference],B28,Table1[Gender], "Women")</f>
        <v>0</v>
      </c>
      <c r="I28" s="158"/>
      <c r="J28" s="210" cm="1">
        <f t="array" ref="J28">IFERROR(ROWS(_xlfn.UNIQUE(_xlfn._xlws.FILTER(Table1[Project reference],(Table1[Result for year]&gt;0)*(Table1[V1.0 standard Indicator reference]=Summary!B28)))),0)</f>
        <v>7</v>
      </c>
      <c r="K28" s="298">
        <v>0.91390703113713778</v>
      </c>
      <c r="L28" s="210">
        <f>SUMIFS(Table1[Result for year],Table1[V1.0 standard Indicator reference],B28)</f>
        <v>7</v>
      </c>
      <c r="M28" s="295">
        <f>SUMIFS(Table1[Result for year],Table1[V1.0 standard Indicator reference],B28,Table1[Gender], "Men")</f>
        <v>0</v>
      </c>
      <c r="N28" s="295">
        <f>SUMIFS(Table1[Result for year],Table1[V1.0 standard Indicator reference],B28,Table1[Gender], "Women")</f>
        <v>0</v>
      </c>
      <c r="O28" s="79"/>
      <c r="P28" s="210">
        <v>0</v>
      </c>
      <c r="Q28" s="210">
        <f t="shared" si="0"/>
        <v>7</v>
      </c>
      <c r="R28" s="79"/>
      <c r="S28" s="304">
        <f t="shared" si="1"/>
        <v>7.6594224155275192</v>
      </c>
      <c r="T28" s="304" t="str">
        <f t="shared" si="2"/>
        <v/>
      </c>
      <c r="U28" s="79"/>
      <c r="V28" s="78"/>
    </row>
    <row r="29" spans="1:22" ht="14.25" customHeight="1" x14ac:dyDescent="0.25">
      <c r="A29" s="344"/>
      <c r="B29" s="227" t="s">
        <v>221</v>
      </c>
      <c r="C29" s="223" t="s">
        <v>222</v>
      </c>
      <c r="D29" s="210" cm="1">
        <f t="array" ref="D29">IFERROR(ROWS(_xlfn.UNIQUE(_xlfn._xlws.FILTER(Table1[Project reference], (Table1[V1.0 standard Indicator reference]=B29)))), 0)</f>
        <v>4</v>
      </c>
      <c r="E29" s="210">
        <f>SUMIFS(Table1[Total achieved to date],Table1[V1.0 standard Indicator reference],B29)</f>
        <v>4</v>
      </c>
      <c r="F29" s="295">
        <f>SUMIFS(Table1[Total achieved to date],Table1[V1.0 standard Indicator reference],B29,Table1[Gender], "Women")</f>
        <v>0</v>
      </c>
      <c r="G29" s="210">
        <f>SUMIFS(Table1[Target for full project],Table1[V1.0 standard Indicator reference],B29)</f>
        <v>4</v>
      </c>
      <c r="H29" s="295">
        <f>SUMIFS(Table1[Target for full project],Table1[V1.0 standard Indicator reference],B29,Table1[Gender], "Women")</f>
        <v>0</v>
      </c>
      <c r="I29" s="158"/>
      <c r="J29" s="210" cm="1">
        <f t="array" ref="J29">IFERROR(ROWS(_xlfn.UNIQUE(_xlfn._xlws.FILTER(Table1[Project reference],(Table1[Result for year]&gt;0)*(Table1[V1.0 standard Indicator reference]=Summary!B29)))),0)</f>
        <v>2</v>
      </c>
      <c r="K29" s="298">
        <v>0.91390703113713778</v>
      </c>
      <c r="L29" s="210">
        <f>SUMIFS(Table1[Result for year],Table1[V1.0 standard Indicator reference],B29)</f>
        <v>3</v>
      </c>
      <c r="M29" s="295">
        <f>SUMIFS(Table1[Result for year],Table1[V1.0 standard Indicator reference],B29,Table1[Gender], "Men")</f>
        <v>0</v>
      </c>
      <c r="N29" s="295">
        <f>SUMIFS(Table1[Result for year],Table1[V1.0 standard Indicator reference],B29,Table1[Gender], "Women")</f>
        <v>0</v>
      </c>
      <c r="O29" s="79"/>
      <c r="P29" s="210">
        <v>1</v>
      </c>
      <c r="Q29" s="210">
        <f t="shared" si="0"/>
        <v>3</v>
      </c>
      <c r="R29" s="79"/>
      <c r="S29" s="304">
        <f t="shared" si="1"/>
        <v>3.2826096066546513</v>
      </c>
      <c r="T29" s="304">
        <f t="shared" si="2"/>
        <v>2</v>
      </c>
      <c r="U29" s="79"/>
      <c r="V29" s="78"/>
    </row>
    <row r="30" spans="1:22" ht="14.25" customHeight="1" x14ac:dyDescent="0.25">
      <c r="A30" s="344"/>
      <c r="B30" s="227" t="s">
        <v>223</v>
      </c>
      <c r="C30" s="223" t="s">
        <v>224</v>
      </c>
      <c r="D30" s="210" cm="1">
        <f t="array" ref="D30">IFERROR(ROWS(_xlfn.UNIQUE(_xlfn._xlws.FILTER(Table1[Project reference], (Table1[V1.0 standard Indicator reference]=B30)))), 0)</f>
        <v>13</v>
      </c>
      <c r="E30" s="210">
        <f>SUMIFS(Table1[Total achieved to date],Table1[V1.0 standard Indicator reference],B30)</f>
        <v>55</v>
      </c>
      <c r="F30" s="295">
        <f>SUMIFS(Table1[Total achieved to date],Table1[V1.0 standard Indicator reference],B30,Table1[Gender], "Women")</f>
        <v>0</v>
      </c>
      <c r="G30" s="210">
        <f>SUMIFS(Table1[Target for full project],Table1[V1.0 standard Indicator reference],B30)</f>
        <v>66</v>
      </c>
      <c r="H30" s="295">
        <f>SUMIFS(Table1[Target for full project],Table1[V1.0 standard Indicator reference],B30,Table1[Gender], "Women")</f>
        <v>0</v>
      </c>
      <c r="I30" s="158"/>
      <c r="J30" s="210" cm="1">
        <f t="array" ref="J30">IFERROR(ROWS(_xlfn.UNIQUE(_xlfn._xlws.FILTER(Table1[Project reference],(Table1[Result for year]&gt;0)*(Table1[V1.0 standard Indicator reference]=Summary!B30)))),0)</f>
        <v>7</v>
      </c>
      <c r="K30" s="298">
        <v>3.884104882332835</v>
      </c>
      <c r="L30" s="210">
        <f>SUMIFS(Table1[Result for year],Table1[V1.0 standard Indicator reference],B30)</f>
        <v>11</v>
      </c>
      <c r="M30" s="295">
        <f>SUMIFS(Table1[Result for year],Table1[V1.0 standard Indicator reference],B30,Table1[Gender], "Men")</f>
        <v>0</v>
      </c>
      <c r="N30" s="295">
        <f>SUMIFS(Table1[Result for year],Table1[V1.0 standard Indicator reference],B30,Table1[Gender], "Women")</f>
        <v>0</v>
      </c>
      <c r="O30" s="79"/>
      <c r="P30" s="210">
        <v>9</v>
      </c>
      <c r="Q30" s="210">
        <f t="shared" si="0"/>
        <v>11</v>
      </c>
      <c r="R30" s="79"/>
      <c r="S30" s="304">
        <f t="shared" si="1"/>
        <v>2.832055346917739</v>
      </c>
      <c r="T30" s="304">
        <f t="shared" si="2"/>
        <v>0.22222222222222221</v>
      </c>
      <c r="U30" s="79"/>
      <c r="V30" s="78"/>
    </row>
    <row r="31" spans="1:22" ht="14.25" customHeight="1" x14ac:dyDescent="0.25">
      <c r="A31" s="344"/>
      <c r="B31" s="227" t="s">
        <v>225</v>
      </c>
      <c r="C31" s="223" t="s">
        <v>226</v>
      </c>
      <c r="D31" s="210" cm="1">
        <f t="array" ref="D31">IFERROR(ROWS(_xlfn.UNIQUE(_xlfn._xlws.FILTER(Table1[Project reference], (Table1[V1.0 standard Indicator reference]=B31)))), 0)</f>
        <v>0</v>
      </c>
      <c r="E31" s="210">
        <f>SUMIFS(Table1[Total achieved to date],Table1[V1.0 standard Indicator reference],B31)</f>
        <v>0</v>
      </c>
      <c r="F31" s="295">
        <f>SUMIFS(Table1[Total achieved to date],Table1[V1.0 standard Indicator reference],B31,Table1[Gender], "Women")</f>
        <v>0</v>
      </c>
      <c r="G31" s="210">
        <f>SUMIFS(Table1[Target for full project],Table1[V1.0 standard Indicator reference],B31)</f>
        <v>0</v>
      </c>
      <c r="H31" s="295">
        <f>SUMIFS(Table1[Target for full project],Table1[V1.0 standard Indicator reference],B31,Table1[Gender], "Women")</f>
        <v>0</v>
      </c>
      <c r="I31" s="158"/>
      <c r="J31" s="210" cm="1">
        <f t="array" ref="J31">IFERROR(ROWS(_xlfn.UNIQUE(_xlfn._xlws.FILTER(Table1[Project reference],(Table1[Result for year]&gt;0)*(Table1[V1.0 standard Indicator reference]=Summary!B31)))),0)</f>
        <v>0</v>
      </c>
      <c r="K31" s="298">
        <v>0</v>
      </c>
      <c r="L31" s="210">
        <f>SUMIFS(Table1[Result for year],Table1[V1.0 standard Indicator reference],B31)</f>
        <v>0</v>
      </c>
      <c r="M31" s="295">
        <f>SUMIFS(Table1[Result for year],Table1[V1.0 standard Indicator reference],B31,Table1[Gender], "Men")</f>
        <v>0</v>
      </c>
      <c r="N31" s="295">
        <f>SUMIFS(Table1[Result for year],Table1[V1.0 standard Indicator reference],B31,Table1[Gender], "Women")</f>
        <v>0</v>
      </c>
      <c r="O31" s="79"/>
      <c r="P31" s="210">
        <v>0</v>
      </c>
      <c r="Q31" s="210">
        <f t="shared" si="0"/>
        <v>0</v>
      </c>
      <c r="R31" s="79"/>
      <c r="S31" s="304" t="str">
        <f t="shared" si="1"/>
        <v/>
      </c>
      <c r="T31" s="304" t="str">
        <f t="shared" si="2"/>
        <v/>
      </c>
      <c r="U31" s="79"/>
      <c r="V31" s="78"/>
    </row>
    <row r="32" spans="1:22" ht="14.25" customHeight="1" x14ac:dyDescent="0.25">
      <c r="A32" s="344"/>
      <c r="B32" s="227" t="s">
        <v>227</v>
      </c>
      <c r="C32" s="223" t="s">
        <v>228</v>
      </c>
      <c r="D32" s="210" cm="1">
        <f t="array" ref="D32">IFERROR(ROWS(_xlfn.UNIQUE(_xlfn._xlws.FILTER(Table1[Project reference], (Table1[V1.0 standard Indicator reference]=B32)))), 0)</f>
        <v>3</v>
      </c>
      <c r="E32" s="210">
        <f>SUMIFS(Table1[Total achieved to date],Table1[V1.0 standard Indicator reference],B32)</f>
        <v>1</v>
      </c>
      <c r="F32" s="295">
        <f>SUMIFS(Table1[Total achieved to date],Table1[V1.0 standard Indicator reference],B32,Table1[Gender], "Women")</f>
        <v>0</v>
      </c>
      <c r="G32" s="210">
        <f>SUMIFS(Table1[Target for full project],Table1[V1.0 standard Indicator reference],B32)</f>
        <v>4</v>
      </c>
      <c r="H32" s="295">
        <f>SUMIFS(Table1[Target for full project],Table1[V1.0 standard Indicator reference],B32,Table1[Gender], "Women")</f>
        <v>0</v>
      </c>
      <c r="I32" s="158"/>
      <c r="J32" s="210" cm="1">
        <f t="array" ref="J32">IFERROR(ROWS(_xlfn.UNIQUE(_xlfn._xlws.FILTER(Table1[Project reference],(Table1[Result for year]&gt;0)*(Table1[V1.0 standard Indicator reference]=Summary!B32)))),0)</f>
        <v>0</v>
      </c>
      <c r="K32" s="298">
        <v>0.45695351556856889</v>
      </c>
      <c r="L32" s="210">
        <f>SUMIFS(Table1[Result for year],Table1[V1.0 standard Indicator reference],B32)</f>
        <v>0</v>
      </c>
      <c r="M32" s="295">
        <f>SUMIFS(Table1[Result for year],Table1[V1.0 standard Indicator reference],B32,Table1[Gender], "Men")</f>
        <v>0</v>
      </c>
      <c r="N32" s="295">
        <f>SUMIFS(Table1[Result for year],Table1[V1.0 standard Indicator reference],B32,Table1[Gender], "Women")</f>
        <v>0</v>
      </c>
      <c r="O32" s="79"/>
      <c r="P32" s="210">
        <v>1</v>
      </c>
      <c r="Q32" s="210">
        <f t="shared" si="0"/>
        <v>0</v>
      </c>
      <c r="R32" s="79"/>
      <c r="S32" s="304">
        <f t="shared" si="1"/>
        <v>0</v>
      </c>
      <c r="T32" s="304">
        <f t="shared" si="2"/>
        <v>-1</v>
      </c>
      <c r="U32" s="79" t="s">
        <v>229</v>
      </c>
      <c r="V32" s="78"/>
    </row>
    <row r="33" spans="1:22" ht="14.25" customHeight="1" x14ac:dyDescent="0.25">
      <c r="A33" s="344"/>
      <c r="B33" s="227" t="s">
        <v>230</v>
      </c>
      <c r="C33" s="223" t="s">
        <v>231</v>
      </c>
      <c r="D33" s="210" cm="1">
        <f t="array" ref="D33">IFERROR(ROWS(_xlfn.UNIQUE(_xlfn._xlws.FILTER(Table1[Project reference], (Table1[V1.0 standard Indicator reference]=B33)))), 0)</f>
        <v>6</v>
      </c>
      <c r="E33" s="210">
        <f>SUMIFS(Table1[Total achieved to date],Table1[V1.0 standard Indicator reference],B33)</f>
        <v>28</v>
      </c>
      <c r="F33" s="295">
        <f>SUMIFS(Table1[Total achieved to date],Table1[V1.0 standard Indicator reference],B33,Table1[Gender], "Women")</f>
        <v>0</v>
      </c>
      <c r="G33" s="210">
        <f>SUMIFS(Table1[Target for full project],Table1[V1.0 standard Indicator reference],B33)</f>
        <v>47</v>
      </c>
      <c r="H33" s="295">
        <f>SUMIFS(Table1[Target for full project],Table1[V1.0 standard Indicator reference],B33,Table1[Gender], "Women")</f>
        <v>0</v>
      </c>
      <c r="I33" s="158"/>
      <c r="J33" s="210" cm="1">
        <f t="array" ref="J33">IFERROR(ROWS(_xlfn.UNIQUE(_xlfn._xlws.FILTER(Table1[Project reference],(Table1[Result for year]&gt;0)*(Table1[V1.0 standard Indicator reference]=Summary!B33)))),0)</f>
        <v>2</v>
      </c>
      <c r="K33" s="298">
        <v>0.68543027335285323</v>
      </c>
      <c r="L33" s="210">
        <f>SUMIFS(Table1[Result for year],Table1[V1.0 standard Indicator reference],B33)</f>
        <v>15</v>
      </c>
      <c r="M33" s="295">
        <f>SUMIFS(Table1[Result for year],Table1[V1.0 standard Indicator reference],B33,Table1[Gender], "Men")</f>
        <v>0</v>
      </c>
      <c r="N33" s="295">
        <f>SUMIFS(Table1[Result for year],Table1[V1.0 standard Indicator reference],B33,Table1[Gender], "Women")</f>
        <v>0</v>
      </c>
      <c r="O33" s="79"/>
      <c r="P33" s="210">
        <v>0</v>
      </c>
      <c r="Q33" s="210">
        <f t="shared" si="0"/>
        <v>15</v>
      </c>
      <c r="R33" s="79"/>
      <c r="S33" s="304">
        <f t="shared" si="1"/>
        <v>21.884064044364344</v>
      </c>
      <c r="T33" s="304" t="str">
        <f t="shared" si="2"/>
        <v/>
      </c>
      <c r="U33" s="79"/>
      <c r="V33" s="78"/>
    </row>
    <row r="34" spans="1:22" ht="14.25" customHeight="1" x14ac:dyDescent="0.25">
      <c r="A34" s="344"/>
      <c r="B34" s="227" t="s">
        <v>232</v>
      </c>
      <c r="C34" s="223" t="s">
        <v>233</v>
      </c>
      <c r="D34" s="210" cm="1">
        <f t="array" ref="D34">IFERROR(ROWS(_xlfn.UNIQUE(_xlfn._xlws.FILTER(Table1[Project reference], (Table1[V1.0 standard Indicator reference]=B34)))), 0)</f>
        <v>3</v>
      </c>
      <c r="E34" s="210">
        <f>SUMIFS(Table1[Total achieved to date],Table1[V1.0 standard Indicator reference],B34)</f>
        <v>8</v>
      </c>
      <c r="F34" s="295">
        <f>SUMIFS(Table1[Total achieved to date],Table1[V1.0 standard Indicator reference],B34,Table1[Gender], "Women")</f>
        <v>0</v>
      </c>
      <c r="G34" s="210">
        <f>SUMIFS(Table1[Target for full project],Table1[V1.0 standard Indicator reference],B34)</f>
        <v>10</v>
      </c>
      <c r="H34" s="295">
        <f>SUMIFS(Table1[Target for full project],Table1[V1.0 standard Indicator reference],B34,Table1[Gender], "Women")</f>
        <v>0</v>
      </c>
      <c r="I34" s="158"/>
      <c r="J34" s="210" cm="1">
        <f t="array" ref="J34">IFERROR(ROWS(_xlfn.UNIQUE(_xlfn._xlws.FILTER(Table1[Project reference],(Table1[Result for year]&gt;0)*(Table1[V1.0 standard Indicator reference]=Summary!B34)))),0)</f>
        <v>2</v>
      </c>
      <c r="K34" s="298">
        <v>1.8278140622742756</v>
      </c>
      <c r="L34" s="210">
        <f>SUMIFS(Table1[Result for year],Table1[V1.0 standard Indicator reference],B34)</f>
        <v>8</v>
      </c>
      <c r="M34" s="295">
        <f>SUMIFS(Table1[Result for year],Table1[V1.0 standard Indicator reference],B34,Table1[Gender], "Men")</f>
        <v>0</v>
      </c>
      <c r="N34" s="295">
        <f>SUMIFS(Table1[Result for year],Table1[V1.0 standard Indicator reference],B34,Table1[Gender], "Women")</f>
        <v>0</v>
      </c>
      <c r="O34" s="79"/>
      <c r="P34" s="210">
        <v>0</v>
      </c>
      <c r="Q34" s="210">
        <f t="shared" si="0"/>
        <v>8</v>
      </c>
      <c r="R34" s="79"/>
      <c r="S34" s="304">
        <f t="shared" si="1"/>
        <v>4.3768128088728684</v>
      </c>
      <c r="T34" s="304" t="str">
        <f t="shared" si="2"/>
        <v/>
      </c>
      <c r="U34" s="79"/>
      <c r="V34" s="78"/>
    </row>
    <row r="35" spans="1:22" ht="14.25" customHeight="1" x14ac:dyDescent="0.25">
      <c r="A35" s="344"/>
      <c r="B35" s="227" t="s">
        <v>234</v>
      </c>
      <c r="C35" s="223" t="s">
        <v>235</v>
      </c>
      <c r="D35" s="210" cm="1">
        <f t="array" ref="D35">IFERROR(ROWS(_xlfn.UNIQUE(_xlfn._xlws.FILTER(Table1[Project reference], (Table1[V1.0 standard Indicator reference]=B35)))), 0)</f>
        <v>2</v>
      </c>
      <c r="E35" s="210">
        <f>SUMIFS(Table1[Total achieved to date],Table1[V1.0 standard Indicator reference],B35)</f>
        <v>4</v>
      </c>
      <c r="F35" s="295">
        <f>SUMIFS(Table1[Total achieved to date],Table1[V1.0 standard Indicator reference],B35,Table1[Gender], "Women")</f>
        <v>0</v>
      </c>
      <c r="G35" s="210">
        <f>SUMIFS(Table1[Target for full project],Table1[V1.0 standard Indicator reference],B35)</f>
        <v>4</v>
      </c>
      <c r="H35" s="295">
        <f>SUMIFS(Table1[Target for full project],Table1[V1.0 standard Indicator reference],B35,Table1[Gender], "Women")</f>
        <v>0</v>
      </c>
      <c r="I35" s="158"/>
      <c r="J35" s="210" cm="1">
        <f t="array" ref="J35">IFERROR(ROWS(_xlfn.UNIQUE(_xlfn._xlws.FILTER(Table1[Project reference],(Table1[Result for year]&gt;0)*(Table1[V1.0 standard Indicator reference]=Summary!B35)))),0)</f>
        <v>1</v>
      </c>
      <c r="K35" s="298">
        <v>0.45695351556856889</v>
      </c>
      <c r="L35" s="210">
        <f>SUMIFS(Table1[Result for year],Table1[V1.0 standard Indicator reference],B35)</f>
        <v>2</v>
      </c>
      <c r="M35" s="295">
        <f>SUMIFS(Table1[Result for year],Table1[V1.0 standard Indicator reference],B35,Table1[Gender], "Men")</f>
        <v>0</v>
      </c>
      <c r="N35" s="295">
        <f>SUMIFS(Table1[Result for year],Table1[V1.0 standard Indicator reference],B35,Table1[Gender], "Women")</f>
        <v>0</v>
      </c>
      <c r="O35" s="79"/>
      <c r="P35" s="210">
        <v>0</v>
      </c>
      <c r="Q35" s="210">
        <f t="shared" si="0"/>
        <v>2</v>
      </c>
      <c r="R35" s="79"/>
      <c r="S35" s="304">
        <f t="shared" si="1"/>
        <v>4.3768128088728684</v>
      </c>
      <c r="T35" s="304" t="str">
        <f t="shared" si="2"/>
        <v/>
      </c>
      <c r="U35" s="79"/>
      <c r="V35" s="78"/>
    </row>
    <row r="36" spans="1:22" ht="14.25" customHeight="1" x14ac:dyDescent="0.25">
      <c r="A36" s="344"/>
      <c r="B36" s="227" t="s">
        <v>236</v>
      </c>
      <c r="C36" s="223" t="s">
        <v>237</v>
      </c>
      <c r="D36" s="210" cm="1">
        <f t="array" ref="D36">IFERROR(ROWS(_xlfn.UNIQUE(_xlfn._xlws.FILTER(Table1[Project reference], (Table1[V1.0 standard Indicator reference]=B36)))), 0)</f>
        <v>2</v>
      </c>
      <c r="E36" s="210">
        <f>SUMIFS(Table1[Total achieved to date],Table1[V1.0 standard Indicator reference],B36)</f>
        <v>2515</v>
      </c>
      <c r="F36" s="295">
        <f>SUMIFS(Table1[Total achieved to date],Table1[V1.0 standard Indicator reference],B36,Table1[Gender], "Women")</f>
        <v>0</v>
      </c>
      <c r="G36" s="210">
        <f>SUMIFS(Table1[Target for full project],Table1[V1.0 standard Indicator reference],B36)</f>
        <v>2515</v>
      </c>
      <c r="H36" s="295">
        <f>SUMIFS(Table1[Target for full project],Table1[V1.0 standard Indicator reference],B36,Table1[Gender], "Women")</f>
        <v>0</v>
      </c>
      <c r="I36" s="158"/>
      <c r="J36" s="210" cm="1">
        <f t="array" ref="J36">IFERROR(ROWS(_xlfn.UNIQUE(_xlfn._xlws.FILTER(Table1[Project reference],(Table1[Result for year]&gt;0)*(Table1[V1.0 standard Indicator reference]=Summary!B36)))),0)</f>
        <v>1</v>
      </c>
      <c r="K36" s="298">
        <v>0.22847675778428445</v>
      </c>
      <c r="L36" s="210">
        <f>SUMIFS(Table1[Result for year],Table1[V1.0 standard Indicator reference],B36)</f>
        <v>2500</v>
      </c>
      <c r="M36" s="295">
        <f>SUMIFS(Table1[Result for year],Table1[V1.0 standard Indicator reference],B36,Table1[Gender], "Men")</f>
        <v>0</v>
      </c>
      <c r="N36" s="295">
        <f>SUMIFS(Table1[Result for year],Table1[V1.0 standard Indicator reference],B36,Table1[Gender], "Women")</f>
        <v>0</v>
      </c>
      <c r="O36" s="79"/>
      <c r="P36" s="210">
        <v>0</v>
      </c>
      <c r="Q36" s="210">
        <f t="shared" ref="Q36:Q63" si="3">L36</f>
        <v>2500</v>
      </c>
      <c r="R36" s="79"/>
      <c r="S36" s="304">
        <f t="shared" ref="S36:S63" si="4">IFERROR(L36/K36,"")</f>
        <v>10942.032022182171</v>
      </c>
      <c r="T36" s="304" t="str">
        <f t="shared" ref="T36:T63" si="5">IFERROR((Q36-P36)/P36,"")</f>
        <v/>
      </c>
      <c r="U36" s="79"/>
      <c r="V36" s="78"/>
    </row>
    <row r="37" spans="1:22" ht="14.25" customHeight="1" x14ac:dyDescent="0.25">
      <c r="A37" s="344"/>
      <c r="B37" s="227" t="s">
        <v>238</v>
      </c>
      <c r="C37" s="223" t="s">
        <v>239</v>
      </c>
      <c r="D37" s="210" cm="1">
        <f t="array" ref="D37">IFERROR(ROWS(_xlfn.UNIQUE(_xlfn._xlws.FILTER(Table1[Project reference], (Table1[V1.0 standard Indicator reference]=B37)))), 0)</f>
        <v>12</v>
      </c>
      <c r="E37" s="210">
        <f>SUMIFS(Table1[Total achieved to date],Table1[V1.0 standard Indicator reference],B37)</f>
        <v>522147</v>
      </c>
      <c r="F37" s="295">
        <f>SUMIFS(Table1[Total achieved to date],Table1[V1.0 standard Indicator reference],B37,Table1[Gender], "Women")</f>
        <v>0</v>
      </c>
      <c r="G37" s="210">
        <f>SUMIFS(Table1[Target for full project],Table1[V1.0 standard Indicator reference],B37)</f>
        <v>638675</v>
      </c>
      <c r="H37" s="295">
        <f>SUMIFS(Table1[Target for full project],Table1[V1.0 standard Indicator reference],B37,Table1[Gender], "Women")</f>
        <v>0</v>
      </c>
      <c r="I37" s="158"/>
      <c r="J37" s="210" cm="1">
        <f t="array" ref="J37">IFERROR(ROWS(_xlfn.UNIQUE(_xlfn._xlws.FILTER(Table1[Project reference],(Table1[Result for year]&gt;0)*(Table1[V1.0 standard Indicator reference]=Summary!B37)))),0)</f>
        <v>6</v>
      </c>
      <c r="K37" s="298">
        <v>89225.657356949887</v>
      </c>
      <c r="L37" s="210">
        <f>SUMIFS(Table1[Result for year],Table1[V1.0 standard Indicator reference],B37)</f>
        <v>247882</v>
      </c>
      <c r="M37" s="295">
        <f>SUMIFS(Table1[Result for year],Table1[V1.0 standard Indicator reference],B37,Table1[Gender], "Men")</f>
        <v>0</v>
      </c>
      <c r="N37" s="295">
        <f>SUMIFS(Table1[Result for year],Table1[V1.0 standard Indicator reference],B37,Table1[Gender], "Women")</f>
        <v>0</v>
      </c>
      <c r="O37" s="79"/>
      <c r="P37" s="210">
        <v>163143</v>
      </c>
      <c r="Q37" s="210">
        <f t="shared" si="3"/>
        <v>247882</v>
      </c>
      <c r="R37" s="79"/>
      <c r="S37" s="304">
        <f t="shared" si="4"/>
        <v>2.778147086194509</v>
      </c>
      <c r="T37" s="304">
        <f t="shared" si="5"/>
        <v>0.51941548212304545</v>
      </c>
      <c r="U37" s="79"/>
      <c r="V37" s="78"/>
    </row>
    <row r="38" spans="1:22" ht="14.25" customHeight="1" x14ac:dyDescent="0.25">
      <c r="A38" s="344"/>
      <c r="B38" s="227" t="s">
        <v>240</v>
      </c>
      <c r="C38" s="223" t="s">
        <v>241</v>
      </c>
      <c r="D38" s="210" cm="1">
        <f t="array" ref="D38">IFERROR(ROWS(_xlfn.UNIQUE(_xlfn._xlws.FILTER(Table1[Project reference], (Table1[V1.0 standard Indicator reference]=B38)))), 0)</f>
        <v>4</v>
      </c>
      <c r="E38" s="210">
        <f>SUMIFS(Table1[Total achieved to date],Table1[V1.0 standard Indicator reference],B38)</f>
        <v>489</v>
      </c>
      <c r="F38" s="295">
        <f>SUMIFS(Table1[Total achieved to date],Table1[V1.0 standard Indicator reference],B38,Table1[Gender], "Women")</f>
        <v>12</v>
      </c>
      <c r="G38" s="210">
        <f>SUMIFS(Table1[Target for full project],Table1[V1.0 standard Indicator reference],B38)</f>
        <v>382</v>
      </c>
      <c r="H38" s="295">
        <f>SUMIFS(Table1[Target for full project],Table1[V1.0 standard Indicator reference],B38,Table1[Gender], "Women")</f>
        <v>12</v>
      </c>
      <c r="I38" s="158"/>
      <c r="J38" s="210" cm="1">
        <f t="array" ref="J38">IFERROR(ROWS(_xlfn.UNIQUE(_xlfn._xlws.FILTER(Table1[Project reference],(Table1[Result for year]&gt;0)*(Table1[V1.0 standard Indicator reference]=Summary!B38)))),0)</f>
        <v>2</v>
      </c>
      <c r="K38" s="298">
        <v>240.58602594685149</v>
      </c>
      <c r="L38" s="210">
        <f>SUMIFS(Table1[Result for year],Table1[V1.0 standard Indicator reference],B38)</f>
        <v>61</v>
      </c>
      <c r="M38" s="295">
        <f>SUMIFS(Table1[Result for year],Table1[V1.0 standard Indicator reference],B38,Table1[Gender], "Men")</f>
        <v>0</v>
      </c>
      <c r="N38" s="295">
        <f>SUMIFS(Table1[Result for year],Table1[V1.0 standard Indicator reference],B38,Table1[Gender], "Women")</f>
        <v>0</v>
      </c>
      <c r="O38" s="79"/>
      <c r="P38" s="210">
        <v>409</v>
      </c>
      <c r="Q38" s="210">
        <f t="shared" si="3"/>
        <v>61</v>
      </c>
      <c r="R38" s="79"/>
      <c r="S38" s="304">
        <f t="shared" si="4"/>
        <v>0.25354756062796296</v>
      </c>
      <c r="T38" s="304">
        <f t="shared" si="5"/>
        <v>-0.85085574572127143</v>
      </c>
      <c r="U38" s="79" t="s">
        <v>242</v>
      </c>
      <c r="V38" s="78"/>
    </row>
    <row r="39" spans="1:22" ht="14.25" customHeight="1" x14ac:dyDescent="0.25">
      <c r="A39" s="344"/>
      <c r="B39" s="227" t="s">
        <v>243</v>
      </c>
      <c r="C39" s="223" t="s">
        <v>244</v>
      </c>
      <c r="D39" s="210" cm="1">
        <f t="array" ref="D39">IFERROR(ROWS(_xlfn.UNIQUE(_xlfn._xlws.FILTER(Table1[Project reference], (Table1[V1.0 standard Indicator reference]=B39)))), 0)</f>
        <v>4</v>
      </c>
      <c r="E39" s="210">
        <f>SUMIFS(Table1[Total achieved to date],Table1[V1.0 standard Indicator reference],B39)</f>
        <v>262</v>
      </c>
      <c r="F39" s="295">
        <f>SUMIFS(Table1[Total achieved to date],Table1[V1.0 standard Indicator reference],B39,Table1[Gender], "Women")</f>
        <v>110</v>
      </c>
      <c r="G39" s="210">
        <f>SUMIFS(Table1[Target for full project],Table1[V1.0 standard Indicator reference],B39)</f>
        <v>262</v>
      </c>
      <c r="H39" s="295">
        <f>SUMIFS(Table1[Target for full project],Table1[V1.0 standard Indicator reference],B39,Table1[Gender], "Women")</f>
        <v>110</v>
      </c>
      <c r="I39" s="158"/>
      <c r="J39" s="210" cm="1">
        <f t="array" ref="J39">IFERROR(ROWS(_xlfn.UNIQUE(_xlfn._xlws.FILTER(Table1[Project reference],(Table1[Result for year]&gt;0)*(Table1[V1.0 standard Indicator reference]=Summary!B39)))),0)</f>
        <v>1</v>
      </c>
      <c r="K39" s="298">
        <v>8.910593553587093</v>
      </c>
      <c r="L39" s="210">
        <f>SUMIFS(Table1[Result for year],Table1[V1.0 standard Indicator reference],B39)</f>
        <v>241</v>
      </c>
      <c r="M39" s="295">
        <f>SUMIFS(Table1[Result for year],Table1[V1.0 standard Indicator reference],B39,Table1[Gender], "Men")</f>
        <v>139</v>
      </c>
      <c r="N39" s="295">
        <f>SUMIFS(Table1[Result for year],Table1[V1.0 standard Indicator reference],B39,Table1[Gender], "Women")</f>
        <v>102</v>
      </c>
      <c r="O39" s="79"/>
      <c r="P39" s="210">
        <v>15</v>
      </c>
      <c r="Q39" s="210">
        <f t="shared" si="3"/>
        <v>241</v>
      </c>
      <c r="R39" s="79"/>
      <c r="S39" s="304">
        <f t="shared" si="4"/>
        <v>27.046458639445163</v>
      </c>
      <c r="T39" s="304">
        <f t="shared" si="5"/>
        <v>15.066666666666666</v>
      </c>
      <c r="U39" s="79"/>
      <c r="V39" s="78"/>
    </row>
    <row r="40" spans="1:22" ht="14.25" customHeight="1" x14ac:dyDescent="0.25">
      <c r="A40" s="344"/>
      <c r="B40" s="227" t="s">
        <v>245</v>
      </c>
      <c r="C40" s="223" t="s">
        <v>246</v>
      </c>
      <c r="D40" s="210" cm="1">
        <f t="array" ref="D40">IFERROR(ROWS(_xlfn.UNIQUE(_xlfn._xlws.FILTER(Table1[Project reference], (Table1[V1.0 standard Indicator reference]=B40)))), 0)</f>
        <v>12</v>
      </c>
      <c r="E40" s="210">
        <f>SUMIFS(Table1[Total achieved to date],Table1[V1.0 standard Indicator reference],B40)</f>
        <v>141</v>
      </c>
      <c r="F40" s="295">
        <f>SUMIFS(Table1[Total achieved to date],Table1[V1.0 standard Indicator reference],B40,Table1[Gender], "Women")</f>
        <v>0</v>
      </c>
      <c r="G40" s="210">
        <f>SUMIFS(Table1[Target for full project],Table1[V1.0 standard Indicator reference],B40)</f>
        <v>94</v>
      </c>
      <c r="H40" s="295">
        <f>SUMIFS(Table1[Target for full project],Table1[V1.0 standard Indicator reference],B40,Table1[Gender], "Women")</f>
        <v>0</v>
      </c>
      <c r="I40" s="158"/>
      <c r="J40" s="210" cm="1">
        <f t="array" ref="J40">IFERROR(ROWS(_xlfn.UNIQUE(_xlfn._xlws.FILTER(Table1[Project reference],(Table1[Result for year]&gt;0)*(Table1[V1.0 standard Indicator reference]=Summary!B40)))),0)</f>
        <v>8</v>
      </c>
      <c r="K40" s="298">
        <v>11.652314646998505</v>
      </c>
      <c r="L40" s="210">
        <f>SUMIFS(Table1[Result for year],Table1[V1.0 standard Indicator reference],B40)</f>
        <v>66</v>
      </c>
      <c r="M40" s="295">
        <f>SUMIFS(Table1[Result for year],Table1[V1.0 standard Indicator reference],B40,Table1[Gender], "Men")</f>
        <v>0</v>
      </c>
      <c r="N40" s="295">
        <f>SUMIFS(Table1[Result for year],Table1[V1.0 standard Indicator reference],B40,Table1[Gender], "Women")</f>
        <v>0</v>
      </c>
      <c r="O40" s="79"/>
      <c r="P40" s="210">
        <v>52</v>
      </c>
      <c r="Q40" s="210">
        <f t="shared" si="3"/>
        <v>66</v>
      </c>
      <c r="R40" s="79"/>
      <c r="S40" s="304">
        <f t="shared" si="4"/>
        <v>5.6641106938354779</v>
      </c>
      <c r="T40" s="304">
        <f t="shared" si="5"/>
        <v>0.26923076923076922</v>
      </c>
      <c r="U40" s="79"/>
      <c r="V40" s="78"/>
    </row>
    <row r="41" spans="1:22" ht="14.25" customHeight="1" x14ac:dyDescent="0.25">
      <c r="A41" s="344"/>
      <c r="B41" s="227" t="s">
        <v>247</v>
      </c>
      <c r="C41" s="223" t="s">
        <v>248</v>
      </c>
      <c r="D41" s="210" cm="1">
        <f t="array" ref="D41">IFERROR(ROWS(_xlfn.UNIQUE(_xlfn._xlws.FILTER(Table1[Project reference], (Table1[V1.0 standard Indicator reference]=B41)))), 0)</f>
        <v>6</v>
      </c>
      <c r="E41" s="210">
        <f>SUMIFS(Table1[Total achieved to date],Table1[V1.0 standard Indicator reference],B41)</f>
        <v>10</v>
      </c>
      <c r="F41" s="295">
        <f>SUMIFS(Table1[Total achieved to date],Table1[V1.0 standard Indicator reference],B41,Table1[Gender], "Women")</f>
        <v>0</v>
      </c>
      <c r="G41" s="210">
        <f>SUMIFS(Table1[Target for full project],Table1[V1.0 standard Indicator reference],B41)</f>
        <v>30</v>
      </c>
      <c r="H41" s="295">
        <f>SUMIFS(Table1[Target for full project],Table1[V1.0 standard Indicator reference],B41,Table1[Gender], "Women")</f>
        <v>0</v>
      </c>
      <c r="I41" s="158"/>
      <c r="J41" s="210" cm="1">
        <f t="array" ref="J41">IFERROR(ROWS(_xlfn.UNIQUE(_xlfn._xlws.FILTER(Table1[Project reference],(Table1[Result for year]&gt;0)*(Table1[V1.0 standard Indicator reference]=Summary!B41)))),0)</f>
        <v>1</v>
      </c>
      <c r="K41" s="298">
        <v>686.80113389955898</v>
      </c>
      <c r="L41" s="210">
        <f>SUMIFS(Table1[Result for year],Table1[V1.0 standard Indicator reference],B41)</f>
        <v>4</v>
      </c>
      <c r="M41" s="295">
        <f>SUMIFS(Table1[Result for year],Table1[V1.0 standard Indicator reference],B41,Table1[Gender], "Men")</f>
        <v>0</v>
      </c>
      <c r="N41" s="295">
        <f>SUMIFS(Table1[Result for year],Table1[V1.0 standard Indicator reference],B41,Table1[Gender], "Women")</f>
        <v>0</v>
      </c>
      <c r="O41" s="79"/>
      <c r="P41" s="210">
        <v>3000</v>
      </c>
      <c r="Q41" s="210">
        <f t="shared" si="3"/>
        <v>4</v>
      </c>
      <c r="R41" s="79"/>
      <c r="S41" s="304">
        <f t="shared" si="4"/>
        <v>5.8241022074156604E-3</v>
      </c>
      <c r="T41" s="304">
        <f t="shared" si="5"/>
        <v>-0.9986666666666667</v>
      </c>
      <c r="U41" s="79" t="s">
        <v>249</v>
      </c>
      <c r="V41" s="78"/>
    </row>
    <row r="42" spans="1:22" ht="14.25" customHeight="1" x14ac:dyDescent="0.25">
      <c r="A42" s="344"/>
      <c r="B42" s="227" t="s">
        <v>250</v>
      </c>
      <c r="C42" s="223" t="s">
        <v>251</v>
      </c>
      <c r="D42" s="210" cm="1">
        <f t="array" ref="D42">IFERROR(ROWS(_xlfn.UNIQUE(_xlfn._xlws.FILTER(Table1[Project reference], (Table1[V1.0 standard Indicator reference]=B42)))), 0)</f>
        <v>14</v>
      </c>
      <c r="E42" s="210">
        <f>SUMIFS(Table1[Total achieved to date],Table1[V1.0 standard Indicator reference],B42)</f>
        <v>1607</v>
      </c>
      <c r="F42" s="295">
        <f>SUMIFS(Table1[Total achieved to date],Table1[V1.0 standard Indicator reference],B42,Table1[Gender], "Women")</f>
        <v>0</v>
      </c>
      <c r="G42" s="210">
        <f>SUMIFS(Table1[Target for full project],Table1[V1.0 standard Indicator reference],B42)</f>
        <v>1026</v>
      </c>
      <c r="H42" s="295">
        <f>SUMIFS(Table1[Target for full project],Table1[V1.0 standard Indicator reference],B42,Table1[Gender], "Women")</f>
        <v>0</v>
      </c>
      <c r="I42" s="158"/>
      <c r="J42" s="210" cm="1">
        <f t="array" ref="J42">IFERROR(ROWS(_xlfn.UNIQUE(_xlfn._xlws.FILTER(Table1[Project reference],(Table1[Result for year]&gt;0)*(Table1[V1.0 standard Indicator reference]=Summary!B42)))),0)</f>
        <v>4</v>
      </c>
      <c r="K42" s="298">
        <v>6.6258259757442497</v>
      </c>
      <c r="L42" s="210">
        <f>SUMIFS(Table1[Result for year],Table1[V1.0 standard Indicator reference],B42)</f>
        <v>802</v>
      </c>
      <c r="M42" s="295">
        <f>SUMIFS(Table1[Result for year],Table1[V1.0 standard Indicator reference],B42,Table1[Gender], "Men")</f>
        <v>0</v>
      </c>
      <c r="N42" s="295">
        <f>SUMIFS(Table1[Result for year],Table1[V1.0 standard Indicator reference],B42,Table1[Gender], "Women")</f>
        <v>0</v>
      </c>
      <c r="O42" s="79"/>
      <c r="P42" s="210">
        <v>11</v>
      </c>
      <c r="Q42" s="210">
        <f t="shared" si="3"/>
        <v>802</v>
      </c>
      <c r="R42" s="79"/>
      <c r="S42" s="304">
        <f t="shared" si="4"/>
        <v>121.04151285227724</v>
      </c>
      <c r="T42" s="304">
        <f t="shared" si="5"/>
        <v>71.909090909090907</v>
      </c>
      <c r="U42" s="79"/>
      <c r="V42" s="78"/>
    </row>
    <row r="43" spans="1:22" ht="14.25" customHeight="1" x14ac:dyDescent="0.25">
      <c r="A43" s="344"/>
      <c r="B43" s="227" t="s">
        <v>252</v>
      </c>
      <c r="C43" s="223" t="s">
        <v>253</v>
      </c>
      <c r="D43" s="210" cm="1">
        <f t="array" ref="D43">IFERROR(ROWS(_xlfn.UNIQUE(_xlfn._xlws.FILTER(Table1[Project reference], (Table1[V1.0 standard Indicator reference]=B43)))), 0)</f>
        <v>6</v>
      </c>
      <c r="E43" s="210">
        <f>SUMIFS(Table1[Total achieved to date],Table1[V1.0 standard Indicator reference],B43)</f>
        <v>7</v>
      </c>
      <c r="F43" s="295">
        <f>SUMIFS(Table1[Total achieved to date],Table1[V1.0 standard Indicator reference],B43,Table1[Gender], "Women")</f>
        <v>0</v>
      </c>
      <c r="G43" s="210">
        <f>SUMIFS(Table1[Target for full project],Table1[V1.0 standard Indicator reference],B43)</f>
        <v>14</v>
      </c>
      <c r="H43" s="295">
        <f>SUMIFS(Table1[Target for full project],Table1[V1.0 standard Indicator reference],B43,Table1[Gender], "Women")</f>
        <v>0</v>
      </c>
      <c r="I43" s="158"/>
      <c r="J43" s="210" cm="1">
        <f t="array" ref="J43">IFERROR(ROWS(_xlfn.UNIQUE(_xlfn._xlws.FILTER(Table1[Project reference],(Table1[Result for year]&gt;0)*(Table1[V1.0 standard Indicator reference]=Summary!B43)))),0)</f>
        <v>2</v>
      </c>
      <c r="K43" s="298">
        <v>0.45695351556856889</v>
      </c>
      <c r="L43" s="210">
        <f>SUMIFS(Table1[Result for year],Table1[V1.0 standard Indicator reference],B43)</f>
        <v>6</v>
      </c>
      <c r="M43" s="295">
        <f>SUMIFS(Table1[Result for year],Table1[V1.0 standard Indicator reference],B43,Table1[Gender], "Men")</f>
        <v>0</v>
      </c>
      <c r="N43" s="295">
        <f>SUMIFS(Table1[Result for year],Table1[V1.0 standard Indicator reference],B43,Table1[Gender], "Women")</f>
        <v>0</v>
      </c>
      <c r="O43" s="79"/>
      <c r="P43" s="210">
        <v>0</v>
      </c>
      <c r="Q43" s="210">
        <f t="shared" si="3"/>
        <v>6</v>
      </c>
      <c r="R43" s="79"/>
      <c r="S43" s="304">
        <f t="shared" si="4"/>
        <v>13.130438426618605</v>
      </c>
      <c r="T43" s="304" t="str">
        <f t="shared" si="5"/>
        <v/>
      </c>
      <c r="U43" s="79"/>
      <c r="V43" s="78"/>
    </row>
    <row r="44" spans="1:22" ht="14.25" customHeight="1" x14ac:dyDescent="0.25">
      <c r="A44" s="344"/>
      <c r="B44" s="228" t="s">
        <v>254</v>
      </c>
      <c r="C44" s="224" t="s">
        <v>255</v>
      </c>
      <c r="D44" s="210" cm="1">
        <f t="array" ref="D44">IFERROR(ROWS(_xlfn.UNIQUE(_xlfn._xlws.FILTER(Table1[Project reference], (Table1[V1.0 standard Indicator reference]=B44)))), 0)</f>
        <v>9</v>
      </c>
      <c r="E44" s="210">
        <f>SUMIFS(Table1[Total achieved to date],Table1[V1.0 standard Indicator reference],B44)</f>
        <v>19</v>
      </c>
      <c r="F44" s="295">
        <f>SUMIFS(Table1[Total achieved to date],Table1[V1.0 standard Indicator reference],B44,Table1[Gender], "Women")</f>
        <v>0</v>
      </c>
      <c r="G44" s="210">
        <f>SUMIFS(Table1[Target for full project],Table1[V1.0 standard Indicator reference],B44)</f>
        <v>39</v>
      </c>
      <c r="H44" s="295">
        <f>SUMIFS(Table1[Target for full project],Table1[V1.0 standard Indicator reference],B44,Table1[Gender], "Women")</f>
        <v>0</v>
      </c>
      <c r="I44" s="158"/>
      <c r="J44" s="210" cm="1">
        <f t="array" ref="J44">IFERROR(ROWS(_xlfn.UNIQUE(_xlfn._xlws.FILTER(Table1[Project reference],(Table1[Result for year]&gt;0)*(Table1[V1.0 standard Indicator reference]=Summary!B44)))),0)</f>
        <v>5</v>
      </c>
      <c r="K44" s="298">
        <v>3.4271513667642663</v>
      </c>
      <c r="L44" s="210">
        <f>SUMIFS(Table1[Result for year],Table1[V1.0 standard Indicator reference],B44)</f>
        <v>10</v>
      </c>
      <c r="M44" s="295">
        <f>SUMIFS(Table1[Result for year],Table1[V1.0 standard Indicator reference],B44,Table1[Gender], "Men")</f>
        <v>0</v>
      </c>
      <c r="N44" s="295">
        <f>SUMIFS(Table1[Result for year],Table1[V1.0 standard Indicator reference],B44,Table1[Gender], "Women")</f>
        <v>0</v>
      </c>
      <c r="O44" s="79"/>
      <c r="P44" s="210">
        <v>6</v>
      </c>
      <c r="Q44" s="210">
        <f t="shared" si="3"/>
        <v>10</v>
      </c>
      <c r="R44" s="79"/>
      <c r="S44" s="304">
        <f t="shared" si="4"/>
        <v>2.9178752059152457</v>
      </c>
      <c r="T44" s="304">
        <f t="shared" si="5"/>
        <v>0.66666666666666663</v>
      </c>
      <c r="U44" s="79"/>
      <c r="V44" s="78"/>
    </row>
    <row r="45" spans="1:22" ht="14.25" customHeight="1" x14ac:dyDescent="0.25">
      <c r="A45" s="345" t="s">
        <v>256</v>
      </c>
      <c r="B45" s="215" t="s">
        <v>257</v>
      </c>
      <c r="C45" s="218" t="s">
        <v>258</v>
      </c>
      <c r="D45" s="219" cm="1">
        <f t="array" ref="D45">IFERROR(ROWS(_xlfn.UNIQUE(_xlfn._xlws.FILTER(Table1[Project reference], (Table1[V1.0 standard Indicator reference]=B45)))), 0)</f>
        <v>22</v>
      </c>
      <c r="E45" s="219">
        <f>SUMIFS(Table1[Total achieved to date],Table1[V1.0 standard Indicator reference],B45)</f>
        <v>521</v>
      </c>
      <c r="F45" s="297">
        <f>SUMIFS(Table1[Total achieved to date],Table1[V1.0 standard Indicator reference],B45,Table1[Gender], "Women")</f>
        <v>0</v>
      </c>
      <c r="G45" s="219">
        <f>SUMIFS(Table1[Target for full project],Table1[V1.0 standard Indicator reference],B45)</f>
        <v>8420</v>
      </c>
      <c r="H45" s="297">
        <f>SUMIFS(Table1[Target for full project],Table1[V1.0 standard Indicator reference],B45,Table1[Gender], "Women")</f>
        <v>0</v>
      </c>
      <c r="I45" s="158"/>
      <c r="J45" s="219" cm="1">
        <f t="array" ref="J45">IFERROR(ROWS(_xlfn.UNIQUE(_xlfn._xlws.FILTER(Table1[Project reference],(Table1[Result for year]&gt;0)*(Table1[V1.0 standard Indicator reference]=Summary!B45)))),0)</f>
        <v>16</v>
      </c>
      <c r="K45" s="298">
        <v>208.14232634148314</v>
      </c>
      <c r="L45" s="219">
        <f>SUMIFS(Table1[Result for year],Table1[V1.0 standard Indicator reference],B45)</f>
        <v>1167.4279999999999</v>
      </c>
      <c r="M45" s="297">
        <f>SUMIFS(Table1[Result for year],Table1[V1.0 standard Indicator reference],B45,Table1[Gender], "Men")</f>
        <v>0</v>
      </c>
      <c r="N45" s="297">
        <f>SUMIFS(Table1[Result for year],Table1[V1.0 standard Indicator reference],B45,Table1[Gender], "Women")</f>
        <v>0</v>
      </c>
      <c r="O45" s="79"/>
      <c r="P45" s="219">
        <v>25.56</v>
      </c>
      <c r="Q45" s="302">
        <f t="shared" si="3"/>
        <v>1167.4279999999999</v>
      </c>
      <c r="R45" s="79"/>
      <c r="S45" s="304">
        <f t="shared" si="4"/>
        <v>5.6087967330810473</v>
      </c>
      <c r="T45" s="304">
        <f t="shared" si="5"/>
        <v>44.674021909233176</v>
      </c>
      <c r="U45" s="309"/>
      <c r="V45" s="78"/>
    </row>
    <row r="46" spans="1:22" ht="14.25" customHeight="1" x14ac:dyDescent="0.25">
      <c r="A46" s="345"/>
      <c r="B46" s="216" t="s">
        <v>259</v>
      </c>
      <c r="C46" s="220" t="s">
        <v>260</v>
      </c>
      <c r="D46" s="219" cm="1">
        <f t="array" ref="D46">IFERROR(ROWS(_xlfn.UNIQUE(_xlfn._xlws.FILTER(Table1[Project reference], (Table1[V1.0 standard Indicator reference]=B46)))), 0)</f>
        <v>4</v>
      </c>
      <c r="E46" s="219">
        <f>SUMIFS(Table1[Total achieved to date],Table1[V1.0 standard Indicator reference],B46)</f>
        <v>0</v>
      </c>
      <c r="F46" s="297">
        <f>SUMIFS(Table1[Total achieved to date],Table1[V1.0 standard Indicator reference],B46,Table1[Gender], "Women")</f>
        <v>0</v>
      </c>
      <c r="G46" s="219">
        <f>SUMIFS(Table1[Target for full project],Table1[V1.0 standard Indicator reference],B46)</f>
        <v>0</v>
      </c>
      <c r="H46" s="297">
        <f>SUMIFS(Table1[Target for full project],Table1[V1.0 standard Indicator reference],B46,Table1[Gender], "Women")</f>
        <v>0</v>
      </c>
      <c r="I46" s="158"/>
      <c r="J46" s="219" cm="1">
        <f t="array" ref="J46">IFERROR(ROWS(_xlfn.UNIQUE(_xlfn._xlws.FILTER(Table1[Project reference],(Table1[Result for year]&gt;0)*(Table1[V1.0 standard Indicator reference]=Summary!B46)))),0)</f>
        <v>2</v>
      </c>
      <c r="K46" s="298">
        <v>0</v>
      </c>
      <c r="L46" s="219">
        <f>SUMIFS(Table1[Result for year],Table1[V1.0 standard Indicator reference],B46)</f>
        <v>9800</v>
      </c>
      <c r="M46" s="297">
        <f>SUMIFS(Table1[Result for year],Table1[V1.0 standard Indicator reference],B46,Table1[Gender], "Men")</f>
        <v>0</v>
      </c>
      <c r="N46" s="297">
        <f>SUMIFS(Table1[Result for year],Table1[V1.0 standard Indicator reference],B46,Table1[Gender], "Women")</f>
        <v>0</v>
      </c>
      <c r="O46" s="79"/>
      <c r="P46" s="219">
        <v>0</v>
      </c>
      <c r="Q46" s="302">
        <f t="shared" si="3"/>
        <v>9800</v>
      </c>
      <c r="R46" s="79"/>
      <c r="S46" s="304" t="str">
        <f t="shared" si="4"/>
        <v/>
      </c>
      <c r="T46" s="304" t="str">
        <f t="shared" si="5"/>
        <v/>
      </c>
      <c r="U46" s="79"/>
      <c r="V46" s="78"/>
    </row>
    <row r="47" spans="1:22" ht="14.25" customHeight="1" x14ac:dyDescent="0.25">
      <c r="A47" s="345"/>
      <c r="B47" s="216" t="s">
        <v>261</v>
      </c>
      <c r="C47" s="220" t="s">
        <v>262</v>
      </c>
      <c r="D47" s="219" cm="1">
        <f t="array" ref="D47">IFERROR(ROWS(_xlfn.UNIQUE(_xlfn._xlws.FILTER(Table1[Project reference], (Table1[V1.0 standard Indicator reference]=B47)))), 0)</f>
        <v>7</v>
      </c>
      <c r="E47" s="219">
        <f>SUMIFS(Table1[Total achieved to date],Table1[V1.0 standard Indicator reference],B47)</f>
        <v>4</v>
      </c>
      <c r="F47" s="297">
        <f>SUMIFS(Table1[Total achieved to date],Table1[V1.0 standard Indicator reference],B47,Table1[Gender], "Women")</f>
        <v>0</v>
      </c>
      <c r="G47" s="219">
        <f>SUMIFS(Table1[Target for full project],Table1[V1.0 standard Indicator reference],B47)</f>
        <v>13</v>
      </c>
      <c r="H47" s="297">
        <f>SUMIFS(Table1[Target for full project],Table1[V1.0 standard Indicator reference],B47,Table1[Gender], "Women")</f>
        <v>0</v>
      </c>
      <c r="I47" s="158"/>
      <c r="J47" s="219" cm="1">
        <f t="array" ref="J47">IFERROR(ROWS(_xlfn.UNIQUE(_xlfn._xlws.FILTER(Table1[Project reference],(Table1[Result for year]&gt;0)*(Table1[V1.0 standard Indicator reference]=Summary!B47)))),0)</f>
        <v>2</v>
      </c>
      <c r="K47" s="298">
        <v>0.68543027335285323</v>
      </c>
      <c r="L47" s="219">
        <f>SUMIFS(Table1[Result for year],Table1[V1.0 standard Indicator reference],B47)</f>
        <v>3</v>
      </c>
      <c r="M47" s="297">
        <f>SUMIFS(Table1[Result for year],Table1[V1.0 standard Indicator reference],B47,Table1[Gender], "Men")</f>
        <v>0</v>
      </c>
      <c r="N47" s="297">
        <f>SUMIFS(Table1[Result for year],Table1[V1.0 standard Indicator reference],B47,Table1[Gender], "Women")</f>
        <v>0</v>
      </c>
      <c r="O47" s="79"/>
      <c r="P47" s="219">
        <v>0</v>
      </c>
      <c r="Q47" s="302">
        <f t="shared" si="3"/>
        <v>3</v>
      </c>
      <c r="R47" s="79"/>
      <c r="S47" s="304">
        <f t="shared" si="4"/>
        <v>4.3768128088728693</v>
      </c>
      <c r="T47" s="304" t="str">
        <f t="shared" si="5"/>
        <v/>
      </c>
      <c r="U47" s="79"/>
      <c r="V47" s="78"/>
    </row>
    <row r="48" spans="1:22" ht="14.25" customHeight="1" x14ac:dyDescent="0.25">
      <c r="A48" s="345"/>
      <c r="B48" s="216" t="s">
        <v>263</v>
      </c>
      <c r="C48" s="220" t="s">
        <v>264</v>
      </c>
      <c r="D48" s="219" cm="1">
        <f t="array" ref="D48">IFERROR(ROWS(_xlfn.UNIQUE(_xlfn._xlws.FILTER(Table1[Project reference], (Table1[V1.0 standard Indicator reference]=B48)))), 0)</f>
        <v>6</v>
      </c>
      <c r="E48" s="219">
        <f>SUMIFS(Table1[Total achieved to date],Table1[V1.0 standard Indicator reference],B48)</f>
        <v>0</v>
      </c>
      <c r="F48" s="297">
        <f>SUMIFS(Table1[Total achieved to date],Table1[V1.0 standard Indicator reference],B48,Table1[Gender], "Women")</f>
        <v>0</v>
      </c>
      <c r="G48" s="219">
        <f>SUMIFS(Table1[Target for full project],Table1[V1.0 standard Indicator reference],B48)</f>
        <v>32</v>
      </c>
      <c r="H48" s="297">
        <f>SUMIFS(Table1[Target for full project],Table1[V1.0 standard Indicator reference],B48,Table1[Gender], "Women")</f>
        <v>0</v>
      </c>
      <c r="I48" s="158"/>
      <c r="J48" s="219" cm="1">
        <f t="array" ref="J48">IFERROR(ROWS(_xlfn.UNIQUE(_xlfn._xlws.FILTER(Table1[Project reference],(Table1[Result for year]&gt;0)*(Table1[V1.0 standard Indicator reference]=Summary!B48)))),0)</f>
        <v>0</v>
      </c>
      <c r="K48" s="298">
        <v>0</v>
      </c>
      <c r="L48" s="219">
        <f>SUMIFS(Table1[Result for year],Table1[V1.0 standard Indicator reference],B48)</f>
        <v>0</v>
      </c>
      <c r="M48" s="297">
        <f>SUMIFS(Table1[Result for year],Table1[V1.0 standard Indicator reference],B48,Table1[Gender], "Men")</f>
        <v>0</v>
      </c>
      <c r="N48" s="297">
        <f>SUMIFS(Table1[Result for year],Table1[V1.0 standard Indicator reference],B48,Table1[Gender], "Women")</f>
        <v>0</v>
      </c>
      <c r="O48" s="79"/>
      <c r="P48" s="219">
        <v>0</v>
      </c>
      <c r="Q48" s="302">
        <f t="shared" si="3"/>
        <v>0</v>
      </c>
      <c r="R48" s="79"/>
      <c r="S48" s="304" t="str">
        <f t="shared" si="4"/>
        <v/>
      </c>
      <c r="T48" s="304" t="str">
        <f t="shared" si="5"/>
        <v/>
      </c>
      <c r="U48" s="79"/>
      <c r="V48" s="78"/>
    </row>
    <row r="49" spans="1:22" ht="14.25" customHeight="1" x14ac:dyDescent="0.25">
      <c r="A49" s="345"/>
      <c r="B49" s="216" t="s">
        <v>265</v>
      </c>
      <c r="C49" s="220" t="s">
        <v>266</v>
      </c>
      <c r="D49" s="219" cm="1">
        <f t="array" ref="D49">IFERROR(ROWS(_xlfn.UNIQUE(_xlfn._xlws.FILTER(Table1[Project reference], (Table1[V1.0 standard Indicator reference]=B49)))), 0)</f>
        <v>0</v>
      </c>
      <c r="E49" s="219">
        <f>SUMIFS(Table1[Total achieved to date],Table1[V1.0 standard Indicator reference],B49)</f>
        <v>0</v>
      </c>
      <c r="F49" s="297">
        <f>SUMIFS(Table1[Total achieved to date],Table1[V1.0 standard Indicator reference],B49,Table1[Gender], "Women")</f>
        <v>0</v>
      </c>
      <c r="G49" s="219">
        <f>SUMIFS(Table1[Target for full project],Table1[V1.0 standard Indicator reference],B49)</f>
        <v>0</v>
      </c>
      <c r="H49" s="297">
        <f>SUMIFS(Table1[Target for full project],Table1[V1.0 standard Indicator reference],B49,Table1[Gender], "Women")</f>
        <v>0</v>
      </c>
      <c r="I49" s="158"/>
      <c r="J49" s="219" cm="1">
        <f t="array" ref="J49">IFERROR(ROWS(_xlfn.UNIQUE(_xlfn._xlws.FILTER(Table1[Project reference],(Table1[Result for year]&gt;0)*(Table1[V1.0 standard Indicator reference]=Summary!B49)))),0)</f>
        <v>0</v>
      </c>
      <c r="K49" s="298">
        <v>0</v>
      </c>
      <c r="L49" s="219">
        <f>SUMIFS(Table1[Result for year],Table1[V1.0 standard Indicator reference],B49)</f>
        <v>0</v>
      </c>
      <c r="M49" s="297">
        <f>SUMIFS(Table1[Result for year],Table1[V1.0 standard Indicator reference],B49,Table1[Gender], "Men")</f>
        <v>0</v>
      </c>
      <c r="N49" s="297">
        <f>SUMIFS(Table1[Result for year],Table1[V1.0 standard Indicator reference],B49,Table1[Gender], "Women")</f>
        <v>0</v>
      </c>
      <c r="O49" s="79"/>
      <c r="P49" s="219">
        <v>0</v>
      </c>
      <c r="Q49" s="302">
        <f t="shared" si="3"/>
        <v>0</v>
      </c>
      <c r="R49" s="79"/>
      <c r="S49" s="304" t="str">
        <f t="shared" si="4"/>
        <v/>
      </c>
      <c r="T49" s="304" t="str">
        <f t="shared" si="5"/>
        <v/>
      </c>
      <c r="U49" s="79"/>
      <c r="V49" s="78"/>
    </row>
    <row r="50" spans="1:22" ht="14.25" customHeight="1" x14ac:dyDescent="0.25">
      <c r="A50" s="345"/>
      <c r="B50" s="216" t="s">
        <v>267</v>
      </c>
      <c r="C50" s="220" t="s">
        <v>268</v>
      </c>
      <c r="D50" s="219" cm="1">
        <f t="array" ref="D50">IFERROR(ROWS(_xlfn.UNIQUE(_xlfn._xlws.FILTER(Table1[Project reference], (Table1[V1.0 standard Indicator reference]=B50)))), 0)</f>
        <v>0</v>
      </c>
      <c r="E50" s="219">
        <f>SUMIFS(Table1[Total achieved to date],Table1[V1.0 standard Indicator reference],B50)</f>
        <v>0</v>
      </c>
      <c r="F50" s="297">
        <f>SUMIFS(Table1[Total achieved to date],Table1[V1.0 standard Indicator reference],B50,Table1[Gender], "Women")</f>
        <v>0</v>
      </c>
      <c r="G50" s="219">
        <f>SUMIFS(Table1[Target for full project],Table1[V1.0 standard Indicator reference],B50)</f>
        <v>0</v>
      </c>
      <c r="H50" s="297">
        <f>SUMIFS(Table1[Target for full project],Table1[V1.0 standard Indicator reference],B50,Table1[Gender], "Women")</f>
        <v>0</v>
      </c>
      <c r="I50" s="158"/>
      <c r="J50" s="219" cm="1">
        <f t="array" ref="J50">IFERROR(ROWS(_xlfn.UNIQUE(_xlfn._xlws.FILTER(Table1[Project reference],(Table1[Result for year]&gt;0)*(Table1[V1.0 standard Indicator reference]=Summary!B50)))),0)</f>
        <v>0</v>
      </c>
      <c r="K50" s="298">
        <v>0</v>
      </c>
      <c r="L50" s="219">
        <f>SUMIFS(Table1[Result for year],Table1[V1.0 standard Indicator reference],B50)</f>
        <v>0</v>
      </c>
      <c r="M50" s="297">
        <f>SUMIFS(Table1[Result for year],Table1[V1.0 standard Indicator reference],B50,Table1[Gender], "Men")</f>
        <v>0</v>
      </c>
      <c r="N50" s="297">
        <f>SUMIFS(Table1[Result for year],Table1[V1.0 standard Indicator reference],B50,Table1[Gender], "Women")</f>
        <v>0</v>
      </c>
      <c r="O50" s="79"/>
      <c r="P50" s="219">
        <v>0</v>
      </c>
      <c r="Q50" s="302">
        <f t="shared" si="3"/>
        <v>0</v>
      </c>
      <c r="R50" s="79"/>
      <c r="S50" s="304" t="str">
        <f t="shared" si="4"/>
        <v/>
      </c>
      <c r="T50" s="304" t="str">
        <f t="shared" si="5"/>
        <v/>
      </c>
      <c r="U50" s="79"/>
      <c r="V50" s="78"/>
    </row>
    <row r="51" spans="1:22" ht="14.25" customHeight="1" x14ac:dyDescent="0.25">
      <c r="A51" s="345"/>
      <c r="B51" s="216" t="s">
        <v>269</v>
      </c>
      <c r="C51" s="220" t="s">
        <v>270</v>
      </c>
      <c r="D51" s="219" cm="1">
        <f t="array" ref="D51">IFERROR(ROWS(_xlfn.UNIQUE(_xlfn._xlws.FILTER(Table1[Project reference], (Table1[V1.0 standard Indicator reference]=B51)))), 0)</f>
        <v>0</v>
      </c>
      <c r="E51" s="219">
        <f>SUMIFS(Table1[Total achieved to date],Table1[V1.0 standard Indicator reference],B51)</f>
        <v>0</v>
      </c>
      <c r="F51" s="297">
        <f>SUMIFS(Table1[Total achieved to date],Table1[V1.0 standard Indicator reference],B51,Table1[Gender], "Women")</f>
        <v>0</v>
      </c>
      <c r="G51" s="219">
        <f>SUMIFS(Table1[Target for full project],Table1[V1.0 standard Indicator reference],B51)</f>
        <v>0</v>
      </c>
      <c r="H51" s="297">
        <f>SUMIFS(Table1[Target for full project],Table1[V1.0 standard Indicator reference],B51,Table1[Gender], "Women")</f>
        <v>0</v>
      </c>
      <c r="I51" s="158"/>
      <c r="J51" s="219" cm="1">
        <f t="array" ref="J51">IFERROR(ROWS(_xlfn.UNIQUE(_xlfn._xlws.FILTER(Table1[Project reference],(Table1[Result for year]&gt;0)*(Table1[V1.0 standard Indicator reference]=Summary!B51)))),0)</f>
        <v>0</v>
      </c>
      <c r="K51" s="298">
        <v>0</v>
      </c>
      <c r="L51" s="219">
        <f>SUMIFS(Table1[Result for year],Table1[V1.0 standard Indicator reference],B51)</f>
        <v>0</v>
      </c>
      <c r="M51" s="297">
        <f>SUMIFS(Table1[Result for year],Table1[V1.0 standard Indicator reference],B51,Table1[Gender], "Men")</f>
        <v>0</v>
      </c>
      <c r="N51" s="297">
        <f>SUMIFS(Table1[Result for year],Table1[V1.0 standard Indicator reference],B51,Table1[Gender], "Women")</f>
        <v>0</v>
      </c>
      <c r="O51" s="79"/>
      <c r="P51" s="219">
        <v>0</v>
      </c>
      <c r="Q51" s="302">
        <f t="shared" si="3"/>
        <v>0</v>
      </c>
      <c r="R51" s="79"/>
      <c r="S51" s="304" t="str">
        <f t="shared" si="4"/>
        <v/>
      </c>
      <c r="T51" s="304" t="str">
        <f t="shared" si="5"/>
        <v/>
      </c>
      <c r="U51" s="79"/>
      <c r="V51" s="78"/>
    </row>
    <row r="52" spans="1:22" ht="14.25" customHeight="1" x14ac:dyDescent="0.25">
      <c r="A52" s="345"/>
      <c r="B52" s="216" t="s">
        <v>271</v>
      </c>
      <c r="C52" s="220" t="s">
        <v>272</v>
      </c>
      <c r="D52" s="219" cm="1">
        <f t="array" ref="D52">IFERROR(ROWS(_xlfn.UNIQUE(_xlfn._xlws.FILTER(Table1[Project reference], (Table1[V1.0 standard Indicator reference]=B52)))), 0)</f>
        <v>0</v>
      </c>
      <c r="E52" s="219">
        <f>SUMIFS(Table1[Total achieved to date],Table1[V1.0 standard Indicator reference],B52)</f>
        <v>0</v>
      </c>
      <c r="F52" s="297">
        <f>SUMIFS(Table1[Total achieved to date],Table1[V1.0 standard Indicator reference],B52,Table1[Gender], "Women")</f>
        <v>0</v>
      </c>
      <c r="G52" s="219">
        <f>SUMIFS(Table1[Target for full project],Table1[V1.0 standard Indicator reference],B52)</f>
        <v>0</v>
      </c>
      <c r="H52" s="297">
        <f>SUMIFS(Table1[Target for full project],Table1[V1.0 standard Indicator reference],B52,Table1[Gender], "Women")</f>
        <v>0</v>
      </c>
      <c r="I52" s="158"/>
      <c r="J52" s="219" cm="1">
        <f t="array" ref="J52">IFERROR(ROWS(_xlfn.UNIQUE(_xlfn._xlws.FILTER(Table1[Project reference],(Table1[Result for year]&gt;0)*(Table1[V1.0 standard Indicator reference]=Summary!B52)))),0)</f>
        <v>0</v>
      </c>
      <c r="K52" s="298">
        <v>0</v>
      </c>
      <c r="L52" s="219">
        <f>SUMIFS(Table1[Result for year],Table1[V1.0 standard Indicator reference],B52)</f>
        <v>0</v>
      </c>
      <c r="M52" s="297">
        <f>SUMIFS(Table1[Result for year],Table1[V1.0 standard Indicator reference],B52,Table1[Gender], "Men")</f>
        <v>0</v>
      </c>
      <c r="N52" s="297">
        <f>SUMIFS(Table1[Result for year],Table1[V1.0 standard Indicator reference],B52,Table1[Gender], "Women")</f>
        <v>0</v>
      </c>
      <c r="O52" s="79"/>
      <c r="P52" s="219">
        <v>0</v>
      </c>
      <c r="Q52" s="302">
        <f t="shared" si="3"/>
        <v>0</v>
      </c>
      <c r="R52" s="79"/>
      <c r="S52" s="304" t="str">
        <f t="shared" si="4"/>
        <v/>
      </c>
      <c r="T52" s="304" t="str">
        <f t="shared" si="5"/>
        <v/>
      </c>
      <c r="U52" s="79"/>
      <c r="V52" s="78"/>
    </row>
    <row r="53" spans="1:22" ht="14.25" customHeight="1" x14ac:dyDescent="0.25">
      <c r="A53" s="345"/>
      <c r="B53" s="216" t="s">
        <v>273</v>
      </c>
      <c r="C53" s="220" t="s">
        <v>274</v>
      </c>
      <c r="D53" s="219" cm="1">
        <f t="array" ref="D53">IFERROR(ROWS(_xlfn.UNIQUE(_xlfn._xlws.FILTER(Table1[Project reference], (Table1[V1.0 standard Indicator reference]=B53)))), 0)</f>
        <v>0</v>
      </c>
      <c r="E53" s="219">
        <f>SUMIFS(Table1[Total achieved to date],Table1[V1.0 standard Indicator reference],B53)</f>
        <v>0</v>
      </c>
      <c r="F53" s="297">
        <f>SUMIFS(Table1[Total achieved to date],Table1[V1.0 standard Indicator reference],B53,Table1[Gender], "Women")</f>
        <v>0</v>
      </c>
      <c r="G53" s="219">
        <f>SUMIFS(Table1[Target for full project],Table1[V1.0 standard Indicator reference],B53)</f>
        <v>0</v>
      </c>
      <c r="H53" s="297">
        <f>SUMIFS(Table1[Target for full project],Table1[V1.0 standard Indicator reference],B53,Table1[Gender], "Women")</f>
        <v>0</v>
      </c>
      <c r="I53" s="158"/>
      <c r="J53" s="219" cm="1">
        <f t="array" ref="J53">IFERROR(ROWS(_xlfn.UNIQUE(_xlfn._xlws.FILTER(Table1[Project reference],(Table1[Result for year]&gt;0)*(Table1[V1.0 standard Indicator reference]=Summary!B53)))),0)</f>
        <v>0</v>
      </c>
      <c r="K53" s="298">
        <v>0</v>
      </c>
      <c r="L53" s="219">
        <f>SUMIFS(Table1[Result for year],Table1[V1.0 standard Indicator reference],B53)</f>
        <v>0</v>
      </c>
      <c r="M53" s="297">
        <f>SUMIFS(Table1[Result for year],Table1[V1.0 standard Indicator reference],B53,Table1[Gender], "Men")</f>
        <v>0</v>
      </c>
      <c r="N53" s="297">
        <f>SUMIFS(Table1[Result for year],Table1[V1.0 standard Indicator reference],B53,Table1[Gender], "Women")</f>
        <v>0</v>
      </c>
      <c r="O53" s="79"/>
      <c r="P53" s="219">
        <v>0</v>
      </c>
      <c r="Q53" s="302">
        <f t="shared" si="3"/>
        <v>0</v>
      </c>
      <c r="R53" s="79"/>
      <c r="S53" s="304" t="str">
        <f t="shared" si="4"/>
        <v/>
      </c>
      <c r="T53" s="304" t="str">
        <f t="shared" si="5"/>
        <v/>
      </c>
      <c r="U53" s="79"/>
      <c r="V53" s="78"/>
    </row>
    <row r="54" spans="1:22" ht="14.25" customHeight="1" x14ac:dyDescent="0.25">
      <c r="A54" s="345"/>
      <c r="B54" s="216" t="s">
        <v>275</v>
      </c>
      <c r="C54" s="220" t="s">
        <v>276</v>
      </c>
      <c r="D54" s="219" cm="1">
        <f t="array" ref="D54">IFERROR(ROWS(_xlfn.UNIQUE(_xlfn._xlws.FILTER(Table1[Project reference], (Table1[V1.0 standard Indicator reference]=B54)))), 0)</f>
        <v>0</v>
      </c>
      <c r="E54" s="219">
        <f>SUMIFS(Table1[Total achieved to date],Table1[V1.0 standard Indicator reference],B54)</f>
        <v>0</v>
      </c>
      <c r="F54" s="297">
        <f>SUMIFS(Table1[Total achieved to date],Table1[V1.0 standard Indicator reference],B54,Table1[Gender], "Women")</f>
        <v>0</v>
      </c>
      <c r="G54" s="219">
        <f>SUMIFS(Table1[Target for full project],Table1[V1.0 standard Indicator reference],B54)</f>
        <v>0</v>
      </c>
      <c r="H54" s="297">
        <f>SUMIFS(Table1[Target for full project],Table1[V1.0 standard Indicator reference],B54,Table1[Gender], "Women")</f>
        <v>0</v>
      </c>
      <c r="I54" s="158"/>
      <c r="J54" s="219" cm="1">
        <f t="array" ref="J54">IFERROR(ROWS(_xlfn.UNIQUE(_xlfn._xlws.FILTER(Table1[Project reference],(Table1[Result for year]&gt;0)*(Table1[V1.0 standard Indicator reference]=Summary!B54)))),0)</f>
        <v>0</v>
      </c>
      <c r="K54" s="298">
        <v>0</v>
      </c>
      <c r="L54" s="219">
        <f>SUMIFS(Table1[Result for year],Table1[V1.0 standard Indicator reference],B54)</f>
        <v>0</v>
      </c>
      <c r="M54" s="297">
        <f>SUMIFS(Table1[Result for year],Table1[V1.0 standard Indicator reference],B54,Table1[Gender], "Men")</f>
        <v>0</v>
      </c>
      <c r="N54" s="297">
        <f>SUMIFS(Table1[Result for year],Table1[V1.0 standard Indicator reference],B54,Table1[Gender], "Women")</f>
        <v>0</v>
      </c>
      <c r="O54" s="79"/>
      <c r="P54" s="219">
        <v>0</v>
      </c>
      <c r="Q54" s="302">
        <f t="shared" si="3"/>
        <v>0</v>
      </c>
      <c r="R54" s="79"/>
      <c r="S54" s="304" t="str">
        <f t="shared" si="4"/>
        <v/>
      </c>
      <c r="T54" s="304" t="str">
        <f t="shared" si="5"/>
        <v/>
      </c>
      <c r="U54" s="79"/>
      <c r="V54" s="78"/>
    </row>
    <row r="55" spans="1:22" ht="14.25" customHeight="1" x14ac:dyDescent="0.25">
      <c r="A55" s="345"/>
      <c r="B55" s="216" t="s">
        <v>277</v>
      </c>
      <c r="C55" s="220" t="s">
        <v>278</v>
      </c>
      <c r="D55" s="219" cm="1">
        <f t="array" ref="D55">IFERROR(ROWS(_xlfn.UNIQUE(_xlfn._xlws.FILTER(Table1[Project reference], (Table1[V1.0 standard Indicator reference]=B55)))), 0)</f>
        <v>1</v>
      </c>
      <c r="E55" s="219">
        <f>SUMIFS(Table1[Total achieved to date],Table1[V1.0 standard Indicator reference],B55)</f>
        <v>0</v>
      </c>
      <c r="F55" s="297">
        <f>SUMIFS(Table1[Total achieved to date],Table1[V1.0 standard Indicator reference],B55,Table1[Gender], "Women")</f>
        <v>0</v>
      </c>
      <c r="G55" s="219">
        <f>SUMIFS(Table1[Target for full project],Table1[V1.0 standard Indicator reference],B55)</f>
        <v>21</v>
      </c>
      <c r="H55" s="297">
        <f>SUMIFS(Table1[Target for full project],Table1[V1.0 standard Indicator reference],B55,Table1[Gender], "Women")</f>
        <v>0</v>
      </c>
      <c r="I55" s="158"/>
      <c r="J55" s="219" cm="1">
        <f t="array" ref="J55">IFERROR(ROWS(_xlfn.UNIQUE(_xlfn._xlws.FILTER(Table1[Project reference],(Table1[Result for year]&gt;0)*(Table1[V1.0 standard Indicator reference]=Summary!B55)))),0)</f>
        <v>0</v>
      </c>
      <c r="K55" s="298">
        <v>0</v>
      </c>
      <c r="L55" s="219">
        <f>SUMIFS(Table1[Result for year],Table1[V1.0 standard Indicator reference],B55)</f>
        <v>0</v>
      </c>
      <c r="M55" s="297">
        <f>SUMIFS(Table1[Result for year],Table1[V1.0 standard Indicator reference],B55,Table1[Gender], "Men")</f>
        <v>0</v>
      </c>
      <c r="N55" s="297">
        <f>SUMIFS(Table1[Result for year],Table1[V1.0 standard Indicator reference],B55,Table1[Gender], "Women")</f>
        <v>0</v>
      </c>
      <c r="O55" s="79"/>
      <c r="P55" s="219">
        <v>0</v>
      </c>
      <c r="Q55" s="302">
        <f t="shared" si="3"/>
        <v>0</v>
      </c>
      <c r="R55" s="79"/>
      <c r="S55" s="304" t="str">
        <f t="shared" si="4"/>
        <v/>
      </c>
      <c r="T55" s="304" t="str">
        <f t="shared" si="5"/>
        <v/>
      </c>
      <c r="U55" s="79"/>
      <c r="V55" s="78"/>
    </row>
    <row r="56" spans="1:22" ht="14.25" customHeight="1" x14ac:dyDescent="0.25">
      <c r="A56" s="345"/>
      <c r="B56" s="216" t="s">
        <v>279</v>
      </c>
      <c r="C56" s="220" t="s">
        <v>280</v>
      </c>
      <c r="D56" s="219" cm="1">
        <f t="array" ref="D56">IFERROR(ROWS(_xlfn.UNIQUE(_xlfn._xlws.FILTER(Table1[Project reference], (Table1[V1.0 standard Indicator reference]=B56)))), 0)</f>
        <v>5</v>
      </c>
      <c r="E56" s="219">
        <f>SUMIFS(Table1[Total achieved to date],Table1[V1.0 standard Indicator reference],B56)</f>
        <v>215.62</v>
      </c>
      <c r="F56" s="297">
        <f>SUMIFS(Table1[Total achieved to date],Table1[V1.0 standard Indicator reference],B56,Table1[Gender], "Women")</f>
        <v>0</v>
      </c>
      <c r="G56" s="219">
        <f>SUMIFS(Table1[Target for full project],Table1[V1.0 standard Indicator reference],B56)</f>
        <v>319.62</v>
      </c>
      <c r="H56" s="297">
        <f>SUMIFS(Table1[Target for full project],Table1[V1.0 standard Indicator reference],B56,Table1[Gender], "Women")</f>
        <v>0</v>
      </c>
      <c r="I56" s="158"/>
      <c r="J56" s="219" cm="1">
        <f t="array" ref="J56">IFERROR(ROWS(_xlfn.UNIQUE(_xlfn._xlws.FILTER(Table1[Project reference],(Table1[Result for year]&gt;0)*(Table1[V1.0 standard Indicator reference]=Summary!B56)))),0)</f>
        <v>3</v>
      </c>
      <c r="K56" s="298">
        <v>0.37013234761054076</v>
      </c>
      <c r="L56" s="219">
        <f>SUMIFS(Table1[Result for year],Table1[V1.0 standard Indicator reference],B56)</f>
        <v>214.54</v>
      </c>
      <c r="M56" s="297">
        <f>SUMIFS(Table1[Result for year],Table1[V1.0 standard Indicator reference],B56,Table1[Gender], "Men")</f>
        <v>0</v>
      </c>
      <c r="N56" s="297">
        <f>SUMIFS(Table1[Result for year],Table1[V1.0 standard Indicator reference],B56,Table1[Gender], "Women")</f>
        <v>0</v>
      </c>
      <c r="O56" s="79"/>
      <c r="P56" s="219">
        <v>1.08</v>
      </c>
      <c r="Q56" s="302">
        <f t="shared" si="3"/>
        <v>214.54</v>
      </c>
      <c r="R56" s="79"/>
      <c r="S56" s="304">
        <f t="shared" si="4"/>
        <v>579.63050618246007</v>
      </c>
      <c r="T56" s="304">
        <f t="shared" si="5"/>
        <v>197.64814814814812</v>
      </c>
      <c r="U56" s="79"/>
      <c r="V56" s="78"/>
    </row>
    <row r="57" spans="1:22" ht="14.25" customHeight="1" x14ac:dyDescent="0.25">
      <c r="A57" s="345"/>
      <c r="B57" s="216" t="s">
        <v>281</v>
      </c>
      <c r="C57" s="220" t="s">
        <v>282</v>
      </c>
      <c r="D57" s="219" cm="1">
        <f t="array" ref="D57">IFERROR(ROWS(_xlfn.UNIQUE(_xlfn._xlws.FILTER(Table1[Project reference], (Table1[V1.0 standard Indicator reference]=B57)))), 0)</f>
        <v>0</v>
      </c>
      <c r="E57" s="219">
        <f>SUMIFS(Table1[Total achieved to date],Table1[V1.0 standard Indicator reference],B57)</f>
        <v>0</v>
      </c>
      <c r="F57" s="297">
        <f>SUMIFS(Table1[Total achieved to date],Table1[V1.0 standard Indicator reference],B57,Table1[Gender], "Women")</f>
        <v>0</v>
      </c>
      <c r="G57" s="219">
        <f>SUMIFS(Table1[Target for full project],Table1[V1.0 standard Indicator reference],B57)</f>
        <v>0</v>
      </c>
      <c r="H57" s="297">
        <f>SUMIFS(Table1[Target for full project],Table1[V1.0 standard Indicator reference],B57,Table1[Gender], "Women")</f>
        <v>0</v>
      </c>
      <c r="I57" s="158"/>
      <c r="J57" s="219" cm="1">
        <f t="array" ref="J57">IFERROR(ROWS(_xlfn.UNIQUE(_xlfn._xlws.FILTER(Table1[Project reference],(Table1[Result for year]&gt;0)*(Table1[V1.0 standard Indicator reference]=Summary!B57)))),0)</f>
        <v>0</v>
      </c>
      <c r="K57" s="298">
        <v>0</v>
      </c>
      <c r="L57" s="219">
        <f>SUMIFS(Table1[Result for year],Table1[V1.0 standard Indicator reference],B57)</f>
        <v>0</v>
      </c>
      <c r="M57" s="297">
        <f>SUMIFS(Table1[Result for year],Table1[V1.0 standard Indicator reference],B57,Table1[Gender], "Men")</f>
        <v>0</v>
      </c>
      <c r="N57" s="297">
        <f>SUMIFS(Table1[Result for year],Table1[V1.0 standard Indicator reference],B57,Table1[Gender], "Women")</f>
        <v>0</v>
      </c>
      <c r="O57" s="79"/>
      <c r="P57" s="219">
        <v>0</v>
      </c>
      <c r="Q57" s="302">
        <f t="shared" si="3"/>
        <v>0</v>
      </c>
      <c r="R57" s="79"/>
      <c r="S57" s="304" t="str">
        <f t="shared" si="4"/>
        <v/>
      </c>
      <c r="T57" s="304" t="str">
        <f t="shared" si="5"/>
        <v/>
      </c>
      <c r="U57" s="79"/>
      <c r="V57" s="78"/>
    </row>
    <row r="58" spans="1:22" ht="14.25" customHeight="1" x14ac:dyDescent="0.25">
      <c r="A58" s="345"/>
      <c r="B58" s="216" t="s">
        <v>283</v>
      </c>
      <c r="C58" s="220" t="s">
        <v>284</v>
      </c>
      <c r="D58" s="219" cm="1">
        <f t="array" ref="D58">IFERROR(ROWS(_xlfn.UNIQUE(_xlfn._xlws.FILTER(Table1[Project reference], (Table1[V1.0 standard Indicator reference]=B58)))), 0)</f>
        <v>0</v>
      </c>
      <c r="E58" s="219">
        <f>SUMIFS(Table1[Total achieved to date],Table1[V1.0 standard Indicator reference],B58)</f>
        <v>0</v>
      </c>
      <c r="F58" s="297">
        <f>SUMIFS(Table1[Total achieved to date],Table1[V1.0 standard Indicator reference],B58,Table1[Gender], "Women")</f>
        <v>0</v>
      </c>
      <c r="G58" s="219">
        <f>SUMIFS(Table1[Target for full project],Table1[V1.0 standard Indicator reference],B58)</f>
        <v>0</v>
      </c>
      <c r="H58" s="297">
        <f>SUMIFS(Table1[Target for full project],Table1[V1.0 standard Indicator reference],B58,Table1[Gender], "Women")</f>
        <v>0</v>
      </c>
      <c r="I58" s="158"/>
      <c r="J58" s="219" cm="1">
        <f t="array" ref="J58">IFERROR(ROWS(_xlfn.UNIQUE(_xlfn._xlws.FILTER(Table1[Project reference],(Table1[Result for year]&gt;0)*(Table1[V1.0 standard Indicator reference]=Summary!B58)))),0)</f>
        <v>0</v>
      </c>
      <c r="K58" s="298">
        <v>0</v>
      </c>
      <c r="L58" s="219">
        <f>SUMIFS(Table1[Result for year],Table1[V1.0 standard Indicator reference],B58)</f>
        <v>0</v>
      </c>
      <c r="M58" s="297">
        <f>SUMIFS(Table1[Result for year],Table1[V1.0 standard Indicator reference],B58,Table1[Gender], "Men")</f>
        <v>0</v>
      </c>
      <c r="N58" s="297">
        <f>SUMIFS(Table1[Result for year],Table1[V1.0 standard Indicator reference],B58,Table1[Gender], "Women")</f>
        <v>0</v>
      </c>
      <c r="O58" s="79"/>
      <c r="P58" s="219">
        <v>0</v>
      </c>
      <c r="Q58" s="302">
        <f t="shared" si="3"/>
        <v>0</v>
      </c>
      <c r="R58" s="79"/>
      <c r="S58" s="304" t="str">
        <f t="shared" si="4"/>
        <v/>
      </c>
      <c r="T58" s="304" t="str">
        <f t="shared" si="5"/>
        <v/>
      </c>
      <c r="U58" s="79"/>
      <c r="V58" s="78"/>
    </row>
    <row r="59" spans="1:22" ht="14.25" customHeight="1" x14ac:dyDescent="0.25">
      <c r="A59" s="345"/>
      <c r="B59" s="216" t="s">
        <v>285</v>
      </c>
      <c r="C59" s="220" t="s">
        <v>286</v>
      </c>
      <c r="D59" s="219" cm="1">
        <f t="array" ref="D59">IFERROR(ROWS(_xlfn.UNIQUE(_xlfn._xlws.FILTER(Table1[Project reference], (Table1[V1.0 standard Indicator reference]=B59)))), 0)</f>
        <v>0</v>
      </c>
      <c r="E59" s="219">
        <f>SUMIFS(Table1[Total achieved to date],Table1[V1.0 standard Indicator reference],B59)</f>
        <v>0</v>
      </c>
      <c r="F59" s="297">
        <f>SUMIFS(Table1[Total achieved to date],Table1[V1.0 standard Indicator reference],B59,Table1[Gender], "Women")</f>
        <v>0</v>
      </c>
      <c r="G59" s="219">
        <f>SUMIFS(Table1[Target for full project],Table1[V1.0 standard Indicator reference],B59)</f>
        <v>0</v>
      </c>
      <c r="H59" s="297">
        <f>SUMIFS(Table1[Target for full project],Table1[V1.0 standard Indicator reference],B59,Table1[Gender], "Women")</f>
        <v>0</v>
      </c>
      <c r="I59" s="158"/>
      <c r="J59" s="219" cm="1">
        <f t="array" ref="J59">IFERROR(ROWS(_xlfn.UNIQUE(_xlfn._xlws.FILTER(Table1[Project reference],(Table1[Result for year]&gt;0)*(Table1[V1.0 standard Indicator reference]=Summary!B59)))),0)</f>
        <v>0</v>
      </c>
      <c r="K59" s="298">
        <v>0</v>
      </c>
      <c r="L59" s="219">
        <f>SUMIFS(Table1[Result for year],Table1[V1.0 standard Indicator reference],B59)</f>
        <v>0</v>
      </c>
      <c r="M59" s="297">
        <f>SUMIFS(Table1[Result for year],Table1[V1.0 standard Indicator reference],B59,Table1[Gender], "Men")</f>
        <v>0</v>
      </c>
      <c r="N59" s="297">
        <f>SUMIFS(Table1[Result for year],Table1[V1.0 standard Indicator reference],B59,Table1[Gender], "Women")</f>
        <v>0</v>
      </c>
      <c r="O59" s="79"/>
      <c r="P59" s="219">
        <v>0</v>
      </c>
      <c r="Q59" s="302">
        <f t="shared" si="3"/>
        <v>0</v>
      </c>
      <c r="R59" s="79"/>
      <c r="S59" s="304" t="str">
        <f t="shared" si="4"/>
        <v/>
      </c>
      <c r="T59" s="304" t="str">
        <f t="shared" si="5"/>
        <v/>
      </c>
      <c r="U59" s="79"/>
      <c r="V59" s="78"/>
    </row>
    <row r="60" spans="1:22" ht="14.25" customHeight="1" x14ac:dyDescent="0.25">
      <c r="A60" s="345"/>
      <c r="B60" s="216" t="s">
        <v>287</v>
      </c>
      <c r="C60" s="221" t="s">
        <v>288</v>
      </c>
      <c r="D60" s="219" cm="1">
        <f t="array" ref="D60">IFERROR(ROWS(_xlfn.UNIQUE(_xlfn._xlws.FILTER(Table1[Project reference], (Table1[V1.0 standard Indicator reference]=B60)))), 0)</f>
        <v>1</v>
      </c>
      <c r="E60" s="219">
        <f>SUMIFS(Table1[Total achieved to date],Table1[V1.0 standard Indicator reference],B60)</f>
        <v>0</v>
      </c>
      <c r="F60" s="297">
        <f>SUMIFS(Table1[Total achieved to date],Table1[V1.0 standard Indicator reference],B60,Table1[Gender], "Women")</f>
        <v>0</v>
      </c>
      <c r="G60" s="219">
        <f>SUMIFS(Table1[Target for full project],Table1[V1.0 standard Indicator reference],B60)</f>
        <v>5</v>
      </c>
      <c r="H60" s="297">
        <f>SUMIFS(Table1[Target for full project],Table1[V1.0 standard Indicator reference],B60,Table1[Gender], "Women")</f>
        <v>0</v>
      </c>
      <c r="I60" s="158"/>
      <c r="J60" s="219" cm="1">
        <f t="array" ref="J60">IFERROR(ROWS(_xlfn.UNIQUE(_xlfn._xlws.FILTER(Table1[Project reference],(Table1[Result for year]&gt;0)*(Table1[V1.0 standard Indicator reference]=Summary!B60)))),0)</f>
        <v>0</v>
      </c>
      <c r="K60" s="298">
        <v>0</v>
      </c>
      <c r="L60" s="219">
        <f>SUMIFS(Table1[Result for year],Table1[V1.0 standard Indicator reference],B60)</f>
        <v>0</v>
      </c>
      <c r="M60" s="297">
        <f>SUMIFS(Table1[Result for year],Table1[V1.0 standard Indicator reference],B60,Table1[Gender], "Men")</f>
        <v>0</v>
      </c>
      <c r="N60" s="297">
        <f>SUMIFS(Table1[Result for year],Table1[V1.0 standard Indicator reference],B60,Table1[Gender], "Women")</f>
        <v>0</v>
      </c>
      <c r="O60" s="79"/>
      <c r="P60" s="219">
        <v>0</v>
      </c>
      <c r="Q60" s="302">
        <f t="shared" si="3"/>
        <v>0</v>
      </c>
      <c r="R60" s="79"/>
      <c r="S60" s="304" t="str">
        <f t="shared" si="4"/>
        <v/>
      </c>
      <c r="T60" s="304" t="str">
        <f t="shared" si="5"/>
        <v/>
      </c>
      <c r="U60" s="79"/>
      <c r="V60" s="78"/>
    </row>
    <row r="61" spans="1:22" ht="14.25" customHeight="1" x14ac:dyDescent="0.25">
      <c r="A61" s="335" t="s">
        <v>289</v>
      </c>
      <c r="B61" s="226" t="s">
        <v>290</v>
      </c>
      <c r="C61" s="173" t="s">
        <v>291</v>
      </c>
      <c r="D61" s="210" cm="1">
        <f t="array" ref="D61">IFERROR(ROWS(_xlfn.UNIQUE(_xlfn._xlws.FILTER(Table1[Project reference], (Table1[V1.0 standard Indicator reference]=B61)))), 0)</f>
        <v>0</v>
      </c>
      <c r="E61" s="210">
        <f>SUMIFS(Table1[Total achieved to date],Table1[V1.0 standard Indicator reference],B61)</f>
        <v>0</v>
      </c>
      <c r="F61" s="295">
        <f>SUMIFS(Table1[Total achieved to date],Table1[V1.0 standard Indicator reference],B61,Table1[Gender], "Women")</f>
        <v>0</v>
      </c>
      <c r="G61" s="210">
        <f>SUMIFS(Table1[Target for full project],Table1[V1.0 standard Indicator reference],B61)</f>
        <v>0</v>
      </c>
      <c r="H61" s="295">
        <f>SUMIFS(Table1[Target for full project],Table1[V1.0 standard Indicator reference],B61,Table1[Gender], "Women")</f>
        <v>0</v>
      </c>
      <c r="I61" s="158"/>
      <c r="J61" s="210" cm="1">
        <f t="array" ref="J61">IFERROR(ROWS(_xlfn.UNIQUE(_xlfn._xlws.FILTER(Table1[Project reference],(Table1[Result for year]&gt;0)*(Table1[V1.0 standard Indicator reference]=Summary!B61)))),0)</f>
        <v>0</v>
      </c>
      <c r="K61" s="298">
        <v>0</v>
      </c>
      <c r="L61" s="210">
        <f>SUMIFS(Table1[Result for year],Table1[V1.0 standard Indicator reference],B61)</f>
        <v>0</v>
      </c>
      <c r="M61" s="295">
        <f>SUMIFS(Table1[Result for year],Table1[V1.0 standard Indicator reference],B61,Table1[Gender], "Men")</f>
        <v>0</v>
      </c>
      <c r="N61" s="295">
        <f>SUMIFS(Table1[Result for year],Table1[V1.0 standard Indicator reference],B61,Table1[Gender], "Women")</f>
        <v>0</v>
      </c>
      <c r="O61" s="79"/>
      <c r="P61" s="210">
        <v>0</v>
      </c>
      <c r="Q61" s="210">
        <f t="shared" si="3"/>
        <v>0</v>
      </c>
      <c r="R61" s="79"/>
      <c r="S61" s="304" t="str">
        <f t="shared" si="4"/>
        <v/>
      </c>
      <c r="T61" s="304" t="str">
        <f t="shared" si="5"/>
        <v/>
      </c>
      <c r="U61" s="79"/>
      <c r="V61" s="78"/>
    </row>
    <row r="62" spans="1:22" ht="14.25" customHeight="1" x14ac:dyDescent="0.25">
      <c r="A62" s="336"/>
      <c r="B62" s="227" t="s">
        <v>292</v>
      </c>
      <c r="C62" s="173" t="s">
        <v>293</v>
      </c>
      <c r="D62" s="210" cm="1">
        <f t="array" ref="D62">IFERROR(ROWS(_xlfn.UNIQUE(_xlfn._xlws.FILTER(Table1[Project reference], (Table1[V1.0 standard Indicator reference]=B62)))), 0)</f>
        <v>0</v>
      </c>
      <c r="E62" s="210">
        <f>SUMIFS(Table1[Total achieved to date],Table1[V1.0 standard Indicator reference],B62)</f>
        <v>0</v>
      </c>
      <c r="F62" s="295">
        <f>SUMIFS(Table1[Total achieved to date],Table1[V1.0 standard Indicator reference],B62,Table1[Gender], "Women")</f>
        <v>0</v>
      </c>
      <c r="G62" s="210">
        <f>SUMIFS(Table1[Target for full project],Table1[V1.0 standard Indicator reference],B62)</f>
        <v>0</v>
      </c>
      <c r="H62" s="295">
        <f>SUMIFS(Table1[Target for full project],Table1[V1.0 standard Indicator reference],B62,Table1[Gender], "Women")</f>
        <v>0</v>
      </c>
      <c r="I62" s="158"/>
      <c r="J62" s="210" cm="1">
        <f t="array" ref="J62">IFERROR(ROWS(_xlfn.UNIQUE(_xlfn._xlws.FILTER(Table1[Project reference],(Table1[Result for year]&gt;0)*(Table1[V1.0 standard Indicator reference]=Summary!B62)))),0)</f>
        <v>0</v>
      </c>
      <c r="K62" s="298">
        <v>0</v>
      </c>
      <c r="L62" s="210">
        <f>SUMIFS(Table1[Result for year],Table1[V1.0 standard Indicator reference],B62)</f>
        <v>0</v>
      </c>
      <c r="M62" s="295">
        <f>SUMIFS(Table1[Result for year],Table1[V1.0 standard Indicator reference],B62,Table1[Gender], "Men")</f>
        <v>0</v>
      </c>
      <c r="N62" s="295">
        <f>SUMIFS(Table1[Result for year],Table1[V1.0 standard Indicator reference],B62,Table1[Gender], "Women")</f>
        <v>0</v>
      </c>
      <c r="O62" s="79"/>
      <c r="P62" s="210">
        <v>0</v>
      </c>
      <c r="Q62" s="210">
        <f t="shared" si="3"/>
        <v>0</v>
      </c>
      <c r="R62" s="79"/>
      <c r="S62" s="304" t="str">
        <f t="shared" si="4"/>
        <v/>
      </c>
      <c r="T62" s="304" t="str">
        <f t="shared" si="5"/>
        <v/>
      </c>
      <c r="U62" s="79"/>
      <c r="V62" s="78"/>
    </row>
    <row r="63" spans="1:22" ht="14.25" customHeight="1" x14ac:dyDescent="0.25">
      <c r="A63" s="337"/>
      <c r="B63" s="228" t="s">
        <v>294</v>
      </c>
      <c r="C63" s="174" t="s">
        <v>295</v>
      </c>
      <c r="D63" s="225" cm="1">
        <f t="array" ref="D63">IFERROR(ROWS(_xlfn.UNIQUE(_xlfn._xlws.FILTER(Table1[Project reference], (Table1[V1.0 standard Indicator reference]=B63)))), 0)</f>
        <v>2</v>
      </c>
      <c r="E63" s="225">
        <f>SUMIFS(Table1[Total achieved to date],Table1[V1.0 standard Indicator reference],B63)</f>
        <v>0</v>
      </c>
      <c r="F63" s="296">
        <f>SUMIFS(Table1[Total achieved to date],Table1[V1.0 standard Indicator reference],B63,Table1[Gender], "Women")</f>
        <v>0</v>
      </c>
      <c r="G63" s="225">
        <f>SUMIFS(Table1[Target for full project],Table1[V1.0 standard Indicator reference],B63)</f>
        <v>4</v>
      </c>
      <c r="H63" s="296">
        <f>SUMIFS(Table1[Target for full project],Table1[V1.0 standard Indicator reference],B63,Table1[Gender], "Women")</f>
        <v>0</v>
      </c>
      <c r="I63" s="158"/>
      <c r="J63" s="225" cm="1">
        <f t="array" ref="J63">IFERROR(ROWS(_xlfn.UNIQUE(_xlfn._xlws.FILTER(Table1[Project reference],(Table1[Result for year]&gt;0)*(Table1[V1.0 standard Indicator reference]=Summary!B63)))),0)</f>
        <v>0</v>
      </c>
      <c r="K63" s="299">
        <v>0</v>
      </c>
      <c r="L63" s="225">
        <f>SUMIFS(Table1[Result for year],Table1[V1.0 standard Indicator reference],B63)</f>
        <v>0</v>
      </c>
      <c r="M63" s="296">
        <f>SUMIFS(Table1[Result for year],Table1[V1.0 standard Indicator reference],B63,Table1[Gender], "Men")</f>
        <v>0</v>
      </c>
      <c r="N63" s="296">
        <f>SUMIFS(Table1[Result for year],Table1[V1.0 standard Indicator reference],B63,Table1[Gender], "Women")</f>
        <v>0</v>
      </c>
      <c r="O63" s="79"/>
      <c r="P63" s="225">
        <v>0</v>
      </c>
      <c r="Q63" s="303">
        <f t="shared" si="3"/>
        <v>0</v>
      </c>
      <c r="R63" s="79"/>
      <c r="S63" s="304" t="str">
        <f t="shared" si="4"/>
        <v/>
      </c>
      <c r="T63" s="304" t="str">
        <f t="shared" si="5"/>
        <v/>
      </c>
      <c r="U63" s="79"/>
      <c r="V63" s="78"/>
    </row>
    <row r="64" spans="1:22" ht="14.25" customHeight="1" x14ac:dyDescent="0.25">
      <c r="A64" s="80"/>
      <c r="B64" s="79"/>
      <c r="C64" s="79"/>
      <c r="D64" s="159"/>
      <c r="E64" s="231"/>
      <c r="F64" s="79"/>
      <c r="G64" s="79"/>
      <c r="H64" s="79"/>
      <c r="I64" s="79"/>
      <c r="J64" s="79"/>
      <c r="K64" s="79"/>
      <c r="L64" s="79"/>
      <c r="M64" s="79"/>
      <c r="N64" s="79"/>
      <c r="O64" s="79"/>
      <c r="P64" s="79"/>
      <c r="Q64" s="79"/>
      <c r="R64" s="79"/>
      <c r="S64" s="79"/>
      <c r="T64" s="79"/>
      <c r="U64" s="79"/>
      <c r="V64" s="78"/>
    </row>
    <row r="65" spans="1:22" ht="14.25" customHeight="1" x14ac:dyDescent="0.25">
      <c r="A65" s="80"/>
      <c r="B65" s="79"/>
      <c r="C65" s="79"/>
      <c r="D65" s="79"/>
      <c r="E65" s="79"/>
      <c r="F65" s="79"/>
      <c r="G65" s="79"/>
      <c r="H65" s="79"/>
      <c r="I65" s="79"/>
      <c r="J65" s="79"/>
      <c r="K65" s="79"/>
      <c r="L65" s="79"/>
      <c r="M65" s="79"/>
      <c r="N65" s="79"/>
      <c r="O65" s="79"/>
      <c r="P65" s="79"/>
      <c r="Q65" s="79"/>
      <c r="R65" s="79"/>
      <c r="S65" s="79"/>
      <c r="T65" s="79"/>
      <c r="U65" s="79"/>
      <c r="V65" s="78"/>
    </row>
    <row r="66" spans="1:22" ht="14.25" customHeight="1" x14ac:dyDescent="0.25">
      <c r="A66" s="102"/>
      <c r="B66" s="99"/>
      <c r="C66" s="99"/>
      <c r="D66" s="99"/>
      <c r="E66" s="99"/>
      <c r="F66" s="99"/>
      <c r="G66" s="99"/>
      <c r="H66" s="99"/>
      <c r="I66" s="99"/>
      <c r="J66" s="99"/>
      <c r="K66" s="99"/>
      <c r="L66" s="99"/>
      <c r="M66" s="99"/>
      <c r="N66" s="99"/>
      <c r="O66" s="99"/>
      <c r="P66" s="79"/>
      <c r="Q66" s="79"/>
      <c r="R66" s="79"/>
      <c r="S66" s="79"/>
      <c r="T66" s="79"/>
      <c r="U66" s="79"/>
      <c r="V66" s="101"/>
    </row>
  </sheetData>
  <sortState xmlns:xlrd2="http://schemas.microsoft.com/office/spreadsheetml/2017/richdata2" ref="B4:B64">
    <sortCondition ref="B4:B64"/>
  </sortState>
  <mergeCells count="14">
    <mergeCell ref="P1:Q2"/>
    <mergeCell ref="A61:A63"/>
    <mergeCell ref="J1:N2"/>
    <mergeCell ref="A4:A13"/>
    <mergeCell ref="A14:A25"/>
    <mergeCell ref="A26:A44"/>
    <mergeCell ref="A45:A60"/>
    <mergeCell ref="A1:A3"/>
    <mergeCell ref="B1:B3"/>
    <mergeCell ref="C1:C3"/>
    <mergeCell ref="D1:H1"/>
    <mergeCell ref="D2:D3"/>
    <mergeCell ref="E2:F2"/>
    <mergeCell ref="G2:H2"/>
  </mergeCells>
  <phoneticPr fontId="3" type="noConversion"/>
  <conditionalFormatting sqref="S4:S63">
    <cfRule type="colorScale" priority="1">
      <colorScale>
        <cfvo type="min"/>
        <cfvo type="percentile" val="50"/>
        <cfvo type="max"/>
        <color rgb="FFF8696B"/>
        <color rgb="FFFFEB84"/>
        <color rgb="FF63BE7B"/>
      </colorScale>
    </cfRule>
  </conditionalFormatting>
  <conditionalFormatting sqref="T4:T63">
    <cfRule type="colorScale" priority="3">
      <colorScale>
        <cfvo type="min"/>
        <cfvo type="num" val="0"/>
        <cfvo type="max"/>
        <color rgb="FFF8696B"/>
        <color rgb="FFFFEB84"/>
        <color rgb="FF63BE7B"/>
      </colorScale>
    </cfRule>
  </conditionalFormatting>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6E8A-088B-4B93-BA60-F1E095658CA8}">
  <sheetPr>
    <tabColor theme="2" tint="-0.249977111117893"/>
  </sheetPr>
  <dimension ref="A1:O92"/>
  <sheetViews>
    <sheetView showRuler="0" zoomScaleNormal="100" zoomScaleSheetLayoutView="400" zoomScalePageLayoutView="90" workbookViewId="0">
      <selection activeCell="A3" sqref="A3"/>
    </sheetView>
  </sheetViews>
  <sheetFormatPr defaultColWidth="9.28515625" defaultRowHeight="14.25" customHeight="1" x14ac:dyDescent="0.25"/>
  <cols>
    <col min="1" max="1" width="13.42578125" style="69" bestFit="1" customWidth="1"/>
    <col min="2" max="2" width="8.5703125" style="32" bestFit="1" customWidth="1"/>
    <col min="3" max="3" width="26.7109375" style="32" customWidth="1"/>
    <col min="4" max="8" width="20.7109375" style="32" customWidth="1"/>
    <col min="9" max="9" width="22.28515625" style="32" bestFit="1" customWidth="1"/>
    <col min="10" max="10" width="9.28515625" style="32"/>
    <col min="11" max="11" width="9.28515625" style="1"/>
    <col min="12" max="12" width="9.28515625" style="1" customWidth="1"/>
    <col min="13" max="16384" width="9.28515625" style="1"/>
  </cols>
  <sheetData>
    <row r="1" spans="1:15" ht="15" x14ac:dyDescent="0.25">
      <c r="A1" s="352" t="s">
        <v>296</v>
      </c>
      <c r="B1" s="352" t="s">
        <v>297</v>
      </c>
      <c r="C1" s="352" t="s">
        <v>298</v>
      </c>
      <c r="D1" s="354" t="s">
        <v>299</v>
      </c>
      <c r="E1" s="355"/>
      <c r="F1" s="357" t="s">
        <v>300</v>
      </c>
      <c r="G1" s="354" t="s">
        <v>301</v>
      </c>
      <c r="H1" s="356"/>
      <c r="I1" s="350" t="s">
        <v>302</v>
      </c>
      <c r="J1" s="208"/>
      <c r="K1"/>
    </row>
    <row r="2" spans="1:15" ht="15" x14ac:dyDescent="0.25">
      <c r="A2" s="353"/>
      <c r="B2" s="353"/>
      <c r="C2" s="353"/>
      <c r="D2" s="244" t="s">
        <v>303</v>
      </c>
      <c r="E2" s="244" t="s">
        <v>304</v>
      </c>
      <c r="F2" s="358"/>
      <c r="G2" s="244" t="s">
        <v>303</v>
      </c>
      <c r="H2" s="245" t="s">
        <v>304</v>
      </c>
      <c r="I2" s="351"/>
      <c r="J2" s="208"/>
      <c r="K2"/>
    </row>
    <row r="3" spans="1:15" ht="15" x14ac:dyDescent="0.25">
      <c r="A3" s="246" t="s">
        <v>56</v>
      </c>
      <c r="B3" s="247">
        <v>8</v>
      </c>
      <c r="C3" s="251">
        <v>306653</v>
      </c>
      <c r="D3" s="252"/>
      <c r="E3" s="252"/>
      <c r="F3" s="249"/>
      <c r="G3" s="248"/>
      <c r="H3" s="248"/>
      <c r="I3" s="250"/>
      <c r="J3" s="208"/>
      <c r="K3"/>
    </row>
    <row r="4" spans="1:15" ht="15" x14ac:dyDescent="0.25">
      <c r="A4" s="40" t="s">
        <v>305</v>
      </c>
      <c r="B4" s="40">
        <v>8</v>
      </c>
      <c r="C4" s="253">
        <v>304743</v>
      </c>
      <c r="D4" s="254">
        <v>605.35</v>
      </c>
      <c r="E4" s="254">
        <v>6400</v>
      </c>
      <c r="F4" s="234">
        <f>IFERROR(D4/C4,0)</f>
        <v>1.9864279081061747E-3</v>
      </c>
      <c r="G4" s="233">
        <v>0</v>
      </c>
      <c r="H4" s="233">
        <v>0</v>
      </c>
      <c r="I4" s="235">
        <f>IFERROR(G4/C4,0)</f>
        <v>0</v>
      </c>
      <c r="J4" s="208"/>
      <c r="K4"/>
    </row>
    <row r="5" spans="1:15" ht="15" x14ac:dyDescent="0.25">
      <c r="A5" s="40" t="s">
        <v>306</v>
      </c>
      <c r="B5" s="40">
        <v>9</v>
      </c>
      <c r="C5" s="253">
        <v>284755</v>
      </c>
      <c r="D5" s="254">
        <v>47000</v>
      </c>
      <c r="E5" s="254">
        <v>74450</v>
      </c>
      <c r="F5" s="234">
        <f t="shared" ref="F5:F33" si="0">IFERROR(D5/C5,0)</f>
        <v>0.16505416937367209</v>
      </c>
      <c r="G5" s="233">
        <v>0</v>
      </c>
      <c r="H5" s="233">
        <v>0</v>
      </c>
      <c r="I5" s="235">
        <f t="shared" ref="I5:I33" si="1">IFERROR(G5/C5,0)</f>
        <v>0</v>
      </c>
      <c r="J5" s="208"/>
      <c r="K5"/>
    </row>
    <row r="6" spans="1:15" ht="15" x14ac:dyDescent="0.25">
      <c r="A6" s="40" t="s">
        <v>307</v>
      </c>
      <c r="B6" s="40">
        <v>9</v>
      </c>
      <c r="C6" s="253">
        <v>499991</v>
      </c>
      <c r="D6" s="254">
        <v>44690</v>
      </c>
      <c r="E6" s="254">
        <v>93930</v>
      </c>
      <c r="F6" s="234">
        <f t="shared" si="0"/>
        <v>8.9381608868959642E-2</v>
      </c>
      <c r="G6" s="233">
        <v>0</v>
      </c>
      <c r="H6" s="233">
        <v>0</v>
      </c>
      <c r="I6" s="235">
        <f t="shared" si="1"/>
        <v>0</v>
      </c>
      <c r="J6" s="208"/>
      <c r="K6"/>
      <c r="L6" s="107"/>
      <c r="M6" s="107"/>
      <c r="O6" s="107"/>
    </row>
    <row r="7" spans="1:15" ht="15" x14ac:dyDescent="0.25">
      <c r="A7" s="40" t="s">
        <v>308</v>
      </c>
      <c r="B7" s="40">
        <v>9</v>
      </c>
      <c r="C7" s="253">
        <v>328144</v>
      </c>
      <c r="D7" s="254">
        <v>500000</v>
      </c>
      <c r="E7" s="254">
        <v>12264</v>
      </c>
      <c r="F7" s="234">
        <f t="shared" si="0"/>
        <v>1.5237212930908381</v>
      </c>
      <c r="G7" s="233">
        <v>0</v>
      </c>
      <c r="H7" s="233">
        <v>0</v>
      </c>
      <c r="I7" s="235">
        <f t="shared" si="1"/>
        <v>0</v>
      </c>
      <c r="J7" s="208"/>
      <c r="K7"/>
      <c r="L7" s="107"/>
      <c r="O7" s="107"/>
    </row>
    <row r="8" spans="1:15" ht="15" x14ac:dyDescent="0.25">
      <c r="A8" s="40" t="s">
        <v>309</v>
      </c>
      <c r="B8" s="40">
        <v>10</v>
      </c>
      <c r="C8" s="253">
        <v>77850</v>
      </c>
      <c r="D8" s="254">
        <v>12200</v>
      </c>
      <c r="E8" s="254">
        <v>32600</v>
      </c>
      <c r="F8" s="234">
        <f t="shared" si="0"/>
        <v>0.15671162491971741</v>
      </c>
      <c r="G8" s="236">
        <v>0</v>
      </c>
      <c r="H8" s="236">
        <v>0</v>
      </c>
      <c r="I8" s="235">
        <f t="shared" si="1"/>
        <v>0</v>
      </c>
      <c r="J8" s="208"/>
      <c r="K8"/>
      <c r="L8" s="107"/>
      <c r="O8" s="107"/>
    </row>
    <row r="9" spans="1:15" ht="15" x14ac:dyDescent="0.25">
      <c r="A9" s="40" t="s">
        <v>310</v>
      </c>
      <c r="B9" s="40">
        <v>10</v>
      </c>
      <c r="C9" s="253">
        <v>160900</v>
      </c>
      <c r="D9" s="254">
        <v>0</v>
      </c>
      <c r="E9" s="254">
        <v>0</v>
      </c>
      <c r="F9" s="234">
        <f t="shared" si="0"/>
        <v>0</v>
      </c>
      <c r="G9" s="236">
        <v>0</v>
      </c>
      <c r="H9" s="236">
        <v>0</v>
      </c>
      <c r="I9" s="235">
        <f t="shared" si="1"/>
        <v>0</v>
      </c>
      <c r="J9" s="208"/>
      <c r="K9"/>
      <c r="L9" s="107"/>
      <c r="O9" s="107"/>
    </row>
    <row r="10" spans="1:15" ht="15" x14ac:dyDescent="0.25">
      <c r="A10" s="40" t="s">
        <v>311</v>
      </c>
      <c r="B10" s="40">
        <v>10</v>
      </c>
      <c r="C10" s="253">
        <v>285415</v>
      </c>
      <c r="D10" s="254">
        <v>211456</v>
      </c>
      <c r="E10" s="254">
        <v>253269</v>
      </c>
      <c r="F10" s="234">
        <f t="shared" si="0"/>
        <v>0.74087206348650214</v>
      </c>
      <c r="G10" s="236">
        <v>0</v>
      </c>
      <c r="H10" s="236">
        <v>0</v>
      </c>
      <c r="I10" s="235">
        <f t="shared" si="1"/>
        <v>0</v>
      </c>
      <c r="J10" s="208"/>
      <c r="K10"/>
      <c r="L10" s="107"/>
    </row>
    <row r="11" spans="1:15" ht="15" x14ac:dyDescent="0.25">
      <c r="A11" s="40" t="s">
        <v>312</v>
      </c>
      <c r="B11" s="40">
        <v>10</v>
      </c>
      <c r="C11" s="253">
        <v>490384</v>
      </c>
      <c r="D11" s="254">
        <v>37000</v>
      </c>
      <c r="E11" s="254">
        <v>200000</v>
      </c>
      <c r="F11" s="234">
        <f t="shared" si="0"/>
        <v>7.5451075075858923E-2</v>
      </c>
      <c r="G11" s="233">
        <v>2000</v>
      </c>
      <c r="H11" s="236">
        <v>0</v>
      </c>
      <c r="I11" s="235">
        <f t="shared" si="1"/>
        <v>4.078436490586969E-3</v>
      </c>
      <c r="J11" s="208"/>
      <c r="K11"/>
      <c r="L11" s="107"/>
    </row>
    <row r="12" spans="1:15" ht="15" x14ac:dyDescent="0.25">
      <c r="A12" s="40" t="s">
        <v>313</v>
      </c>
      <c r="B12" s="40">
        <v>10</v>
      </c>
      <c r="C12" s="253">
        <v>439897</v>
      </c>
      <c r="D12" s="254">
        <v>60818</v>
      </c>
      <c r="E12" s="254">
        <v>200442</v>
      </c>
      <c r="F12" s="234">
        <f t="shared" si="0"/>
        <v>0.13825509153279064</v>
      </c>
      <c r="G12" s="236">
        <v>0</v>
      </c>
      <c r="H12" s="236">
        <v>0</v>
      </c>
      <c r="I12" s="235">
        <f t="shared" si="1"/>
        <v>0</v>
      </c>
      <c r="J12" s="208"/>
      <c r="K12"/>
      <c r="L12" s="107"/>
    </row>
    <row r="13" spans="1:15" ht="15" x14ac:dyDescent="0.25">
      <c r="A13" s="40" t="s">
        <v>314</v>
      </c>
      <c r="B13" s="40">
        <v>10</v>
      </c>
      <c r="C13" s="253">
        <v>199300</v>
      </c>
      <c r="D13" s="254">
        <v>17480</v>
      </c>
      <c r="E13" s="254">
        <v>44585</v>
      </c>
      <c r="F13" s="234">
        <f t="shared" si="0"/>
        <v>8.7706974410436525E-2</v>
      </c>
      <c r="G13" s="236">
        <v>0</v>
      </c>
      <c r="H13" s="236">
        <v>0</v>
      </c>
      <c r="I13" s="235">
        <f t="shared" si="1"/>
        <v>0</v>
      </c>
      <c r="J13" s="208"/>
      <c r="K13"/>
      <c r="L13" s="107"/>
    </row>
    <row r="14" spans="1:15" ht="15" x14ac:dyDescent="0.25">
      <c r="A14" s="40" t="s">
        <v>315</v>
      </c>
      <c r="B14" s="40">
        <v>10</v>
      </c>
      <c r="C14" s="253">
        <v>308263</v>
      </c>
      <c r="D14" s="254">
        <v>32217</v>
      </c>
      <c r="E14" s="254">
        <v>224571</v>
      </c>
      <c r="F14" s="234">
        <f t="shared" si="0"/>
        <v>0.10451140746700058</v>
      </c>
      <c r="G14" s="236">
        <v>0</v>
      </c>
      <c r="H14" s="236">
        <v>0</v>
      </c>
      <c r="I14" s="235">
        <f t="shared" si="1"/>
        <v>0</v>
      </c>
      <c r="J14" s="208"/>
      <c r="K14"/>
      <c r="L14" s="107"/>
    </row>
    <row r="15" spans="1:15" ht="15" x14ac:dyDescent="0.25">
      <c r="A15" s="40" t="s">
        <v>112</v>
      </c>
      <c r="B15" s="40">
        <v>10</v>
      </c>
      <c r="C15" s="253">
        <v>98135</v>
      </c>
      <c r="D15" s="254">
        <v>79000</v>
      </c>
      <c r="E15" s="254">
        <v>155000</v>
      </c>
      <c r="F15" s="234">
        <f t="shared" si="0"/>
        <v>0.80501350180873288</v>
      </c>
      <c r="G15" s="236">
        <v>0</v>
      </c>
      <c r="H15" s="236">
        <v>0</v>
      </c>
      <c r="I15" s="235">
        <f t="shared" si="1"/>
        <v>0</v>
      </c>
      <c r="J15" s="208"/>
      <c r="K15"/>
      <c r="L15" s="107"/>
    </row>
    <row r="16" spans="1:15" ht="15" x14ac:dyDescent="0.25">
      <c r="A16" s="40" t="s">
        <v>316</v>
      </c>
      <c r="B16" s="40">
        <v>10</v>
      </c>
      <c r="C16" s="253">
        <v>397757</v>
      </c>
      <c r="D16" s="254">
        <v>392461</v>
      </c>
      <c r="E16" s="254">
        <v>0</v>
      </c>
      <c r="F16" s="234">
        <f t="shared" si="0"/>
        <v>0.98668533803302017</v>
      </c>
      <c r="G16" s="236">
        <v>0</v>
      </c>
      <c r="H16" s="236">
        <v>0</v>
      </c>
      <c r="I16" s="235">
        <f t="shared" si="1"/>
        <v>0</v>
      </c>
      <c r="J16" s="208"/>
      <c r="K16"/>
      <c r="L16" s="107"/>
    </row>
    <row r="17" spans="1:12" ht="15" x14ac:dyDescent="0.25">
      <c r="A17" s="40" t="s">
        <v>317</v>
      </c>
      <c r="B17" s="40">
        <v>10</v>
      </c>
      <c r="C17" s="253">
        <v>299249</v>
      </c>
      <c r="D17" s="254">
        <v>0</v>
      </c>
      <c r="E17" s="254">
        <v>0</v>
      </c>
      <c r="F17" s="234">
        <f t="shared" si="0"/>
        <v>0</v>
      </c>
      <c r="G17" s="236">
        <v>0</v>
      </c>
      <c r="H17" s="236">
        <v>0</v>
      </c>
      <c r="I17" s="235">
        <f t="shared" si="1"/>
        <v>0</v>
      </c>
      <c r="J17" s="208"/>
      <c r="K17"/>
      <c r="L17" s="107"/>
    </row>
    <row r="18" spans="1:12" ht="15" x14ac:dyDescent="0.25">
      <c r="A18" s="40" t="s">
        <v>318</v>
      </c>
      <c r="B18" s="40">
        <v>10</v>
      </c>
      <c r="C18" s="253">
        <v>499234</v>
      </c>
      <c r="D18" s="254">
        <v>67994</v>
      </c>
      <c r="E18" s="254">
        <v>189699</v>
      </c>
      <c r="F18" s="234">
        <f t="shared" si="0"/>
        <v>0.13619665327281394</v>
      </c>
      <c r="G18" s="233">
        <v>6434</v>
      </c>
      <c r="H18" s="236">
        <v>0</v>
      </c>
      <c r="I18" s="235">
        <f t="shared" si="1"/>
        <v>1.288774402384453E-2</v>
      </c>
      <c r="J18" s="208"/>
      <c r="K18"/>
      <c r="L18" s="107"/>
    </row>
    <row r="19" spans="1:12" ht="15" x14ac:dyDescent="0.25">
      <c r="A19" s="40" t="s">
        <v>319</v>
      </c>
      <c r="B19" s="40">
        <v>10</v>
      </c>
      <c r="C19" s="253">
        <v>99723</v>
      </c>
      <c r="D19" s="254">
        <v>100000</v>
      </c>
      <c r="E19" s="254">
        <v>100000</v>
      </c>
      <c r="F19" s="234">
        <f t="shared" si="0"/>
        <v>1.00277769421297</v>
      </c>
      <c r="G19" s="233">
        <v>2200</v>
      </c>
      <c r="H19" s="233">
        <v>2200</v>
      </c>
      <c r="I19" s="235">
        <f t="shared" si="1"/>
        <v>2.2061109272685338E-2</v>
      </c>
      <c r="J19" s="208"/>
      <c r="K19"/>
      <c r="L19" s="107"/>
    </row>
    <row r="20" spans="1:12" ht="14.25" customHeight="1" x14ac:dyDescent="0.25">
      <c r="A20" s="40" t="s">
        <v>320</v>
      </c>
      <c r="B20" s="40">
        <v>10</v>
      </c>
      <c r="C20" s="253">
        <v>249999</v>
      </c>
      <c r="D20" s="254">
        <v>0</v>
      </c>
      <c r="E20" s="254">
        <v>0</v>
      </c>
      <c r="F20" s="234">
        <f t="shared" si="0"/>
        <v>0</v>
      </c>
      <c r="G20" s="236">
        <v>0</v>
      </c>
      <c r="H20" s="236">
        <v>0</v>
      </c>
      <c r="I20" s="235">
        <f t="shared" si="1"/>
        <v>0</v>
      </c>
      <c r="J20" s="208"/>
      <c r="L20" s="107"/>
    </row>
    <row r="21" spans="1:12" ht="14.25" customHeight="1" x14ac:dyDescent="0.25">
      <c r="A21" s="40" t="s">
        <v>321</v>
      </c>
      <c r="B21" s="40">
        <v>10</v>
      </c>
      <c r="C21" s="253">
        <v>336538</v>
      </c>
      <c r="D21" s="254">
        <v>13264</v>
      </c>
      <c r="E21" s="254">
        <v>219692</v>
      </c>
      <c r="F21" s="234">
        <f t="shared" si="0"/>
        <v>3.941308262365617E-2</v>
      </c>
      <c r="G21" s="236">
        <v>0</v>
      </c>
      <c r="H21" s="236">
        <v>0</v>
      </c>
      <c r="I21" s="235">
        <f t="shared" si="1"/>
        <v>0</v>
      </c>
      <c r="J21" s="208"/>
      <c r="L21" s="107"/>
    </row>
    <row r="22" spans="1:12" ht="14.25" customHeight="1" x14ac:dyDescent="0.25">
      <c r="A22" s="40" t="s">
        <v>322</v>
      </c>
      <c r="B22" s="40">
        <v>11</v>
      </c>
      <c r="C22" s="253">
        <v>303425</v>
      </c>
      <c r="D22" s="254">
        <v>12800</v>
      </c>
      <c r="E22" s="254">
        <v>0</v>
      </c>
      <c r="F22" s="234">
        <f t="shared" si="0"/>
        <v>4.218505396720771E-2</v>
      </c>
      <c r="G22" s="233">
        <v>20958</v>
      </c>
      <c r="H22" s="236">
        <v>0</v>
      </c>
      <c r="I22" s="235">
        <f t="shared" si="1"/>
        <v>6.9071434456620256E-2</v>
      </c>
      <c r="J22" s="208"/>
      <c r="L22" s="107"/>
    </row>
    <row r="23" spans="1:12" ht="14.25" customHeight="1" x14ac:dyDescent="0.25">
      <c r="A23" s="40" t="s">
        <v>323</v>
      </c>
      <c r="B23" s="40">
        <v>11</v>
      </c>
      <c r="C23" s="253">
        <v>396655</v>
      </c>
      <c r="D23" s="254">
        <v>13000</v>
      </c>
      <c r="E23" s="254">
        <v>39000</v>
      </c>
      <c r="F23" s="234">
        <f t="shared" si="0"/>
        <v>3.2774073187026506E-2</v>
      </c>
      <c r="G23" s="233">
        <v>64638</v>
      </c>
      <c r="H23" s="233">
        <v>145132</v>
      </c>
      <c r="I23" s="235">
        <f t="shared" si="1"/>
        <v>0.1629577340510015</v>
      </c>
      <c r="J23" s="208"/>
      <c r="L23" s="107"/>
    </row>
    <row r="24" spans="1:12" ht="14.25" customHeight="1" x14ac:dyDescent="0.25">
      <c r="A24" s="40" t="s">
        <v>324</v>
      </c>
      <c r="B24" s="40">
        <v>11</v>
      </c>
      <c r="C24" s="253">
        <v>396989</v>
      </c>
      <c r="D24" s="254">
        <v>185095.58</v>
      </c>
      <c r="E24" s="254">
        <v>608730</v>
      </c>
      <c r="F24" s="234">
        <f t="shared" si="0"/>
        <v>0.46624863661209753</v>
      </c>
      <c r="G24" s="236">
        <v>0</v>
      </c>
      <c r="H24" s="236">
        <v>0</v>
      </c>
      <c r="I24" s="235">
        <f t="shared" si="1"/>
        <v>0</v>
      </c>
      <c r="J24" s="208"/>
      <c r="L24" s="107"/>
    </row>
    <row r="25" spans="1:12" ht="14.25" customHeight="1" x14ac:dyDescent="0.25">
      <c r="A25" s="40" t="s">
        <v>325</v>
      </c>
      <c r="B25" s="40">
        <v>11</v>
      </c>
      <c r="C25" s="253">
        <v>630031</v>
      </c>
      <c r="D25" s="254">
        <v>0</v>
      </c>
      <c r="E25" s="254">
        <v>0</v>
      </c>
      <c r="F25" s="234">
        <f t="shared" si="0"/>
        <v>0</v>
      </c>
      <c r="G25" s="236">
        <v>0</v>
      </c>
      <c r="H25" s="236">
        <v>0</v>
      </c>
      <c r="I25" s="235">
        <f t="shared" si="1"/>
        <v>0</v>
      </c>
      <c r="J25" s="208"/>
      <c r="L25" s="107"/>
    </row>
    <row r="26" spans="1:12" ht="14.25" customHeight="1" x14ac:dyDescent="0.25">
      <c r="A26" s="40" t="s">
        <v>326</v>
      </c>
      <c r="B26" s="40">
        <v>11</v>
      </c>
      <c r="C26" s="253">
        <v>489264</v>
      </c>
      <c r="D26" s="254">
        <v>76886</v>
      </c>
      <c r="E26" s="254">
        <v>33608</v>
      </c>
      <c r="F26" s="234">
        <f t="shared" si="0"/>
        <v>0.15714624415448511</v>
      </c>
      <c r="G26" s="236">
        <v>0</v>
      </c>
      <c r="H26" s="236">
        <v>0</v>
      </c>
      <c r="I26" s="235">
        <f t="shared" si="1"/>
        <v>0</v>
      </c>
      <c r="J26" s="208"/>
      <c r="L26" s="107"/>
    </row>
    <row r="27" spans="1:12" ht="14.25" customHeight="1" x14ac:dyDescent="0.25">
      <c r="A27" s="40" t="s">
        <v>327</v>
      </c>
      <c r="B27" s="40">
        <v>11</v>
      </c>
      <c r="C27" s="253">
        <v>346812</v>
      </c>
      <c r="D27" s="254">
        <v>124771</v>
      </c>
      <c r="E27" s="254">
        <v>124771</v>
      </c>
      <c r="F27" s="234">
        <f t="shared" si="0"/>
        <v>0.35976552137757634</v>
      </c>
      <c r="G27" s="236">
        <v>0</v>
      </c>
      <c r="H27" s="236">
        <v>0</v>
      </c>
      <c r="I27" s="235">
        <f t="shared" si="1"/>
        <v>0</v>
      </c>
      <c r="J27" s="208"/>
      <c r="L27" s="107"/>
    </row>
    <row r="28" spans="1:12" ht="14.25" customHeight="1" x14ac:dyDescent="0.25">
      <c r="A28" s="40" t="s">
        <v>328</v>
      </c>
      <c r="B28" s="40">
        <v>11</v>
      </c>
      <c r="C28" s="253">
        <v>336065</v>
      </c>
      <c r="D28" s="254">
        <v>6072</v>
      </c>
      <c r="E28" s="254">
        <v>0</v>
      </c>
      <c r="F28" s="234">
        <f t="shared" si="0"/>
        <v>1.8067933286715368E-2</v>
      </c>
      <c r="G28" s="236">
        <v>0</v>
      </c>
      <c r="H28" s="236">
        <v>0</v>
      </c>
      <c r="I28" s="235">
        <f t="shared" si="1"/>
        <v>0</v>
      </c>
      <c r="J28" s="208"/>
      <c r="L28" s="107"/>
    </row>
    <row r="29" spans="1:12" ht="14.25" customHeight="1" x14ac:dyDescent="0.25">
      <c r="A29" s="40" t="s">
        <v>329</v>
      </c>
      <c r="B29" s="40">
        <v>11</v>
      </c>
      <c r="C29" s="253">
        <v>532182</v>
      </c>
      <c r="D29" s="254">
        <v>0</v>
      </c>
      <c r="E29" s="254">
        <v>0</v>
      </c>
      <c r="F29" s="234">
        <f t="shared" si="0"/>
        <v>0</v>
      </c>
      <c r="G29" s="236">
        <v>0</v>
      </c>
      <c r="H29" s="236">
        <v>0</v>
      </c>
      <c r="I29" s="235">
        <f t="shared" si="1"/>
        <v>0</v>
      </c>
      <c r="J29" s="208"/>
      <c r="L29" s="107"/>
    </row>
    <row r="30" spans="1:12" ht="14.25" customHeight="1" x14ac:dyDescent="0.25">
      <c r="A30" s="40" t="s">
        <v>330</v>
      </c>
      <c r="B30" s="40">
        <v>11</v>
      </c>
      <c r="C30" s="253">
        <v>485986</v>
      </c>
      <c r="D30" s="254">
        <v>37144</v>
      </c>
      <c r="E30" s="254">
        <v>98776</v>
      </c>
      <c r="F30" s="234">
        <f t="shared" si="0"/>
        <v>7.6430185231673345E-2</v>
      </c>
      <c r="G30" s="236">
        <v>0</v>
      </c>
      <c r="H30" s="236">
        <v>0</v>
      </c>
      <c r="I30" s="235">
        <f t="shared" si="1"/>
        <v>0</v>
      </c>
      <c r="J30" s="208"/>
      <c r="L30" s="107"/>
    </row>
    <row r="31" spans="1:12" ht="14.25" customHeight="1" x14ac:dyDescent="0.25">
      <c r="A31" s="40" t="s">
        <v>331</v>
      </c>
      <c r="B31" s="40">
        <v>11</v>
      </c>
      <c r="C31" s="253">
        <v>273579</v>
      </c>
      <c r="D31" s="254">
        <v>0</v>
      </c>
      <c r="E31" s="254">
        <v>30328</v>
      </c>
      <c r="F31" s="234">
        <f t="shared" si="0"/>
        <v>0</v>
      </c>
      <c r="G31" s="236">
        <v>0</v>
      </c>
      <c r="H31" s="236">
        <v>0</v>
      </c>
      <c r="I31" s="235">
        <f t="shared" si="1"/>
        <v>0</v>
      </c>
      <c r="J31" s="208"/>
      <c r="L31" s="107"/>
    </row>
    <row r="32" spans="1:12" ht="14.25" customHeight="1" x14ac:dyDescent="0.25">
      <c r="A32" s="41" t="s">
        <v>332</v>
      </c>
      <c r="B32" s="41">
        <v>11</v>
      </c>
      <c r="C32" s="255">
        <v>599185</v>
      </c>
      <c r="D32" s="256">
        <v>0</v>
      </c>
      <c r="E32" s="256">
        <v>0</v>
      </c>
      <c r="F32" s="237">
        <f t="shared" si="0"/>
        <v>0</v>
      </c>
      <c r="G32" s="238">
        <v>0</v>
      </c>
      <c r="H32" s="238">
        <v>0</v>
      </c>
      <c r="I32" s="239">
        <f t="shared" si="1"/>
        <v>0</v>
      </c>
      <c r="J32" s="208"/>
      <c r="L32" s="107"/>
    </row>
    <row r="33" spans="1:12" ht="14.25" hidden="1" customHeight="1" x14ac:dyDescent="0.25">
      <c r="C33" s="32">
        <v>1000000</v>
      </c>
      <c r="D33" s="32">
        <v>1100000</v>
      </c>
      <c r="E33" s="32">
        <v>1250000</v>
      </c>
      <c r="F33" s="32">
        <f t="shared" si="0"/>
        <v>1.1000000000000001</v>
      </c>
      <c r="G33" s="32">
        <v>200000</v>
      </c>
      <c r="H33" s="32">
        <v>350000</v>
      </c>
      <c r="I33" s="32">
        <f t="shared" si="1"/>
        <v>0.2</v>
      </c>
      <c r="J33" s="208"/>
      <c r="L33" s="107"/>
    </row>
    <row r="34" spans="1:12" ht="14.25" customHeight="1" x14ac:dyDescent="0.25">
      <c r="A34" s="205"/>
      <c r="B34" s="204"/>
      <c r="C34" s="204"/>
      <c r="D34" s="204"/>
      <c r="E34" s="204"/>
      <c r="F34" s="204"/>
      <c r="G34" s="204"/>
      <c r="H34" s="204"/>
      <c r="I34" s="204"/>
      <c r="J34" s="208"/>
      <c r="L34" s="107"/>
    </row>
    <row r="35" spans="1:12" ht="14.25" customHeight="1" x14ac:dyDescent="0.25">
      <c r="A35" s="205"/>
      <c r="B35" s="204"/>
      <c r="C35" s="204"/>
      <c r="D35" s="204"/>
      <c r="E35" s="204"/>
      <c r="F35" s="204"/>
      <c r="G35" s="204"/>
      <c r="H35" s="204"/>
      <c r="I35" s="204"/>
      <c r="J35" s="208"/>
      <c r="L35" s="107"/>
    </row>
    <row r="36" spans="1:12" ht="14.25" customHeight="1" x14ac:dyDescent="0.25">
      <c r="A36" s="206"/>
      <c r="B36" s="207"/>
      <c r="C36" s="207"/>
      <c r="D36" s="207"/>
      <c r="E36" s="207"/>
      <c r="F36" s="207"/>
      <c r="G36" s="207"/>
      <c r="H36" s="207"/>
      <c r="I36" s="207"/>
      <c r="J36" s="209"/>
      <c r="L36" s="107"/>
    </row>
    <row r="37" spans="1:12" ht="14.25" customHeight="1" x14ac:dyDescent="0.25">
      <c r="L37" s="107"/>
    </row>
    <row r="38" spans="1:12" ht="14.25" customHeight="1" x14ac:dyDescent="0.25">
      <c r="L38" s="107"/>
    </row>
    <row r="39" spans="1:12" ht="14.25" customHeight="1" x14ac:dyDescent="0.25">
      <c r="L39" s="107"/>
    </row>
    <row r="40" spans="1:12" ht="14.25" customHeight="1" x14ac:dyDescent="0.25">
      <c r="L40" s="107"/>
    </row>
    <row r="41" spans="1:12" ht="14.25" customHeight="1" x14ac:dyDescent="0.25">
      <c r="L41" s="107"/>
    </row>
    <row r="42" spans="1:12" ht="14.25" customHeight="1" x14ac:dyDescent="0.25">
      <c r="L42" s="107"/>
    </row>
    <row r="43" spans="1:12" ht="14.25" customHeight="1" x14ac:dyDescent="0.25">
      <c r="L43" s="107"/>
    </row>
    <row r="44" spans="1:12" ht="14.25" customHeight="1" x14ac:dyDescent="0.25">
      <c r="L44" s="107"/>
    </row>
    <row r="45" spans="1:12" ht="14.25" customHeight="1" x14ac:dyDescent="0.25">
      <c r="L45" s="107"/>
    </row>
    <row r="46" spans="1:12" ht="14.25" customHeight="1" x14ac:dyDescent="0.25">
      <c r="L46" s="107"/>
    </row>
    <row r="47" spans="1:12" ht="14.25" customHeight="1" x14ac:dyDescent="0.25">
      <c r="L47" s="107"/>
    </row>
    <row r="48" spans="1:12" ht="14.25" customHeight="1" x14ac:dyDescent="0.25">
      <c r="L48" s="107"/>
    </row>
    <row r="49" spans="10:12" ht="14.25" customHeight="1" x14ac:dyDescent="0.25">
      <c r="L49" s="107"/>
    </row>
    <row r="50" spans="10:12" ht="14.25" customHeight="1" x14ac:dyDescent="0.25">
      <c r="L50" s="107"/>
    </row>
    <row r="51" spans="10:12" ht="14.25" customHeight="1" x14ac:dyDescent="0.25">
      <c r="L51" s="107"/>
    </row>
    <row r="52" spans="10:12" ht="14.25" customHeight="1" x14ac:dyDescent="0.25">
      <c r="L52" s="107"/>
    </row>
    <row r="53" spans="10:12" ht="14.25" customHeight="1" x14ac:dyDescent="0.25">
      <c r="L53" s="107"/>
    </row>
    <row r="54" spans="10:12" ht="14.25" customHeight="1" x14ac:dyDescent="0.25">
      <c r="L54" s="107"/>
    </row>
    <row r="55" spans="10:12" ht="14.25" customHeight="1" x14ac:dyDescent="0.25">
      <c r="L55" s="107"/>
    </row>
    <row r="56" spans="10:12" ht="14.25" customHeight="1" x14ac:dyDescent="0.25">
      <c r="L56" s="107"/>
    </row>
    <row r="57" spans="10:12" ht="14.25" customHeight="1" x14ac:dyDescent="0.25">
      <c r="L57" s="107"/>
    </row>
    <row r="58" spans="10:12" ht="14.25" customHeight="1" x14ac:dyDescent="0.25">
      <c r="L58" s="107"/>
    </row>
    <row r="59" spans="10:12" ht="14.25" customHeight="1" x14ac:dyDescent="0.25">
      <c r="L59" s="107"/>
    </row>
    <row r="60" spans="10:12" ht="14.25" customHeight="1" x14ac:dyDescent="0.25">
      <c r="L60" s="107"/>
    </row>
    <row r="61" spans="10:12" ht="14.25" customHeight="1" x14ac:dyDescent="0.25">
      <c r="L61" s="107"/>
    </row>
    <row r="62" spans="10:12" ht="14.25" customHeight="1" x14ac:dyDescent="0.25">
      <c r="L62" s="107"/>
    </row>
    <row r="64" spans="10:12" ht="14.25" customHeight="1" x14ac:dyDescent="0.25">
      <c r="J64" s="1"/>
    </row>
    <row r="65" spans="10:10" ht="14.25" customHeight="1" x14ac:dyDescent="0.25">
      <c r="J65" s="1"/>
    </row>
    <row r="66" spans="10:10" ht="14.25" customHeight="1" x14ac:dyDescent="0.25">
      <c r="J66" s="1"/>
    </row>
    <row r="67" spans="10:10" ht="14.25" customHeight="1" x14ac:dyDescent="0.25">
      <c r="J67" s="1"/>
    </row>
    <row r="68" spans="10:10" ht="14.25" customHeight="1" x14ac:dyDescent="0.25">
      <c r="J68" s="1"/>
    </row>
    <row r="69" spans="10:10" ht="14.25" customHeight="1" x14ac:dyDescent="0.25">
      <c r="J69" s="1"/>
    </row>
    <row r="70" spans="10:10" ht="14.25" customHeight="1" x14ac:dyDescent="0.25">
      <c r="J70" s="1"/>
    </row>
    <row r="71" spans="10:10" ht="14.25" customHeight="1" x14ac:dyDescent="0.25">
      <c r="J71" s="1"/>
    </row>
    <row r="72" spans="10:10" ht="14.25" customHeight="1" x14ac:dyDescent="0.25">
      <c r="J72" s="1"/>
    </row>
    <row r="73" spans="10:10" ht="14.25" customHeight="1" x14ac:dyDescent="0.25">
      <c r="J73" s="1"/>
    </row>
    <row r="74" spans="10:10" ht="14.25" customHeight="1" x14ac:dyDescent="0.25">
      <c r="J74" s="1"/>
    </row>
    <row r="75" spans="10:10" ht="14.25" customHeight="1" x14ac:dyDescent="0.25">
      <c r="J75" s="1"/>
    </row>
    <row r="76" spans="10:10" ht="14.25" customHeight="1" x14ac:dyDescent="0.25">
      <c r="J76" s="1"/>
    </row>
    <row r="77" spans="10:10" ht="14.25" customHeight="1" x14ac:dyDescent="0.25">
      <c r="J77" s="1"/>
    </row>
    <row r="78" spans="10:10" ht="14.25" customHeight="1" x14ac:dyDescent="0.25">
      <c r="J78" s="1"/>
    </row>
    <row r="79" spans="10:10" ht="14.25" customHeight="1" x14ac:dyDescent="0.25">
      <c r="J79" s="1"/>
    </row>
    <row r="80" spans="10:10" ht="14.25" customHeight="1" x14ac:dyDescent="0.25">
      <c r="J80" s="1"/>
    </row>
    <row r="81" spans="10:10" ht="14.25" customHeight="1" x14ac:dyDescent="0.25">
      <c r="J81" s="1"/>
    </row>
    <row r="82" spans="10:10" ht="14.25" customHeight="1" x14ac:dyDescent="0.25">
      <c r="J82" s="1"/>
    </row>
    <row r="83" spans="10:10" ht="14.25" customHeight="1" x14ac:dyDescent="0.25">
      <c r="J83" s="1"/>
    </row>
    <row r="84" spans="10:10" ht="14.25" customHeight="1" x14ac:dyDescent="0.25">
      <c r="J84" s="1"/>
    </row>
    <row r="85" spans="10:10" ht="14.25" customHeight="1" x14ac:dyDescent="0.25">
      <c r="J85" s="1"/>
    </row>
    <row r="86" spans="10:10" ht="14.25" customHeight="1" x14ac:dyDescent="0.25">
      <c r="J86" s="1"/>
    </row>
    <row r="87" spans="10:10" ht="14.25" customHeight="1" x14ac:dyDescent="0.25">
      <c r="J87" s="1"/>
    </row>
    <row r="88" spans="10:10" ht="14.25" customHeight="1" x14ac:dyDescent="0.25">
      <c r="J88" s="1"/>
    </row>
    <row r="89" spans="10:10" ht="14.25" customHeight="1" x14ac:dyDescent="0.25">
      <c r="J89" s="1"/>
    </row>
    <row r="90" spans="10:10" ht="14.25" customHeight="1" x14ac:dyDescent="0.25">
      <c r="J90" s="1"/>
    </row>
    <row r="91" spans="10:10" ht="14.25" customHeight="1" x14ac:dyDescent="0.25">
      <c r="J91" s="1"/>
    </row>
    <row r="92" spans="10:10" ht="14.25" customHeight="1" x14ac:dyDescent="0.25">
      <c r="J92" s="1"/>
    </row>
  </sheetData>
  <mergeCells count="7">
    <mergeCell ref="I1:I2"/>
    <mergeCell ref="C1:C2"/>
    <mergeCell ref="B1:B2"/>
    <mergeCell ref="A1:A2"/>
    <mergeCell ref="D1:E1"/>
    <mergeCell ref="G1:H1"/>
    <mergeCell ref="F1:F2"/>
  </mergeCells>
  <conditionalFormatting sqref="C4:C33">
    <cfRule type="dataBar" priority="6">
      <dataBar>
        <cfvo type="min"/>
        <cfvo type="max"/>
        <color rgb="FF027977"/>
      </dataBar>
      <extLst>
        <ext xmlns:x14="http://schemas.microsoft.com/office/spreadsheetml/2009/9/main" uri="{B025F937-C7B1-47D3-B67F-A62EFF666E3E}">
          <x14:id>{0C1A81BF-65B6-4CEB-8379-70B52B58B130}</x14:id>
        </ext>
      </extLst>
    </cfRule>
  </conditionalFormatting>
  <conditionalFormatting sqref="D4:D33">
    <cfRule type="dataBar" priority="4">
      <dataBar>
        <cfvo type="min"/>
        <cfvo type="max"/>
        <color rgb="FF3B3433"/>
      </dataBar>
      <extLst>
        <ext xmlns:x14="http://schemas.microsoft.com/office/spreadsheetml/2009/9/main" uri="{B025F937-C7B1-47D3-B67F-A62EFF666E3E}">
          <x14:id>{DC9834D2-B9C9-49FE-9EF7-423E375CC945}</x14:id>
        </ext>
      </extLst>
    </cfRule>
  </conditionalFormatting>
  <conditionalFormatting sqref="E4:E33">
    <cfRule type="dataBar" priority="3">
      <dataBar>
        <cfvo type="min"/>
        <cfvo type="max"/>
        <color rgb="FF3B3433"/>
      </dataBar>
      <extLst>
        <ext xmlns:x14="http://schemas.microsoft.com/office/spreadsheetml/2009/9/main" uri="{B025F937-C7B1-47D3-B67F-A62EFF666E3E}">
          <x14:id>{09C586FA-1F4E-4D41-BD45-A17C58DCD2A9}</x14:id>
        </ext>
      </extLst>
    </cfRule>
  </conditionalFormatting>
  <conditionalFormatting sqref="F4:F32">
    <cfRule type="colorScale" priority="8">
      <colorScale>
        <cfvo type="min"/>
        <cfvo type="max"/>
        <color theme="0"/>
        <color rgb="FF027977"/>
      </colorScale>
    </cfRule>
    <cfRule type="colorScale" priority="18">
      <colorScale>
        <cfvo type="min"/>
        <cfvo type="max"/>
        <color rgb="FFFCFCFF"/>
        <color rgb="FF63BE7B"/>
      </colorScale>
    </cfRule>
    <cfRule type="colorScale" priority="19">
      <colorScale>
        <cfvo type="min"/>
        <cfvo type="max"/>
        <color rgb="FFFCFCFF"/>
        <color rgb="FFF8696B"/>
      </colorScale>
    </cfRule>
  </conditionalFormatting>
  <conditionalFormatting sqref="G4:G33">
    <cfRule type="dataBar" priority="2">
      <dataBar>
        <cfvo type="min"/>
        <cfvo type="max"/>
        <color rgb="FF3B3433"/>
      </dataBar>
      <extLst>
        <ext xmlns:x14="http://schemas.microsoft.com/office/spreadsheetml/2009/9/main" uri="{B025F937-C7B1-47D3-B67F-A62EFF666E3E}">
          <x14:id>{7B155E5D-F3A0-4F84-AA42-1A6815CEAC6B}</x14:id>
        </ext>
      </extLst>
    </cfRule>
  </conditionalFormatting>
  <conditionalFormatting sqref="H4:H33">
    <cfRule type="dataBar" priority="1">
      <dataBar>
        <cfvo type="min"/>
        <cfvo type="max"/>
        <color rgb="FF3B3433"/>
      </dataBar>
      <extLst>
        <ext xmlns:x14="http://schemas.microsoft.com/office/spreadsheetml/2009/9/main" uri="{B025F937-C7B1-47D3-B67F-A62EFF666E3E}">
          <x14:id>{4D42876E-349E-4C5B-9015-D09AE76D1BDB}</x14:id>
        </ext>
      </extLst>
    </cfRule>
  </conditionalFormatting>
  <conditionalFormatting sqref="I4:I32">
    <cfRule type="colorScale" priority="7">
      <colorScale>
        <cfvo type="min"/>
        <cfvo type="max"/>
        <color theme="0"/>
        <color rgb="FF027977"/>
      </colorScale>
    </cfRule>
    <cfRule type="colorScale" priority="13">
      <colorScale>
        <cfvo type="min"/>
        <cfvo type="max"/>
        <color rgb="FFFCFCFF"/>
        <color rgb="FF63BE7B"/>
      </colorScale>
    </cfRule>
  </conditionalFormatting>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78C0D931-6437-407d-A8EE-F0AAD7539E65}">
      <x14:conditionalFormattings>
        <x14:conditionalFormatting xmlns:xm="http://schemas.microsoft.com/office/excel/2006/main">
          <x14:cfRule type="dataBar" id="{0C1A81BF-65B6-4CEB-8379-70B52B58B130}">
            <x14:dataBar minLength="0" maxLength="100" gradient="0">
              <x14:cfvo type="autoMin"/>
              <x14:cfvo type="autoMax"/>
              <x14:negativeFillColor rgb="FFFF0000"/>
              <x14:axisColor rgb="FF000000"/>
            </x14:dataBar>
          </x14:cfRule>
          <xm:sqref>C4:C33</xm:sqref>
        </x14:conditionalFormatting>
        <x14:conditionalFormatting xmlns:xm="http://schemas.microsoft.com/office/excel/2006/main">
          <x14:cfRule type="dataBar" id="{DC9834D2-B9C9-49FE-9EF7-423E375CC945}">
            <x14:dataBar minLength="0" maxLength="100" gradient="0">
              <x14:cfvo type="autoMin"/>
              <x14:cfvo type="autoMax"/>
              <x14:negativeFillColor rgb="FFFF0000"/>
              <x14:axisColor rgb="FF000000"/>
            </x14:dataBar>
          </x14:cfRule>
          <xm:sqref>D4:D33</xm:sqref>
        </x14:conditionalFormatting>
        <x14:conditionalFormatting xmlns:xm="http://schemas.microsoft.com/office/excel/2006/main">
          <x14:cfRule type="dataBar" id="{09C586FA-1F4E-4D41-BD45-A17C58DCD2A9}">
            <x14:dataBar minLength="0" maxLength="100" gradient="0">
              <x14:cfvo type="autoMin"/>
              <x14:cfvo type="autoMax"/>
              <x14:negativeFillColor rgb="FFFF0000"/>
              <x14:axisColor rgb="FF000000"/>
            </x14:dataBar>
          </x14:cfRule>
          <xm:sqref>E4:E33</xm:sqref>
        </x14:conditionalFormatting>
        <x14:conditionalFormatting xmlns:xm="http://schemas.microsoft.com/office/excel/2006/main">
          <x14:cfRule type="dataBar" id="{7B155E5D-F3A0-4F84-AA42-1A6815CEAC6B}">
            <x14:dataBar minLength="0" maxLength="100" gradient="0">
              <x14:cfvo type="autoMin"/>
              <x14:cfvo type="autoMax"/>
              <x14:negativeFillColor rgb="FFFF0000"/>
              <x14:axisColor rgb="FF000000"/>
            </x14:dataBar>
          </x14:cfRule>
          <xm:sqref>G4:G33</xm:sqref>
        </x14:conditionalFormatting>
        <x14:conditionalFormatting xmlns:xm="http://schemas.microsoft.com/office/excel/2006/main">
          <x14:cfRule type="dataBar" id="{4D42876E-349E-4C5B-9015-D09AE76D1BDB}">
            <x14:dataBar minLength="0" maxLength="100" gradient="0">
              <x14:cfvo type="autoMin"/>
              <x14:cfvo type="autoMax"/>
              <x14:negativeFillColor rgb="FFFF0000"/>
              <x14:axisColor rgb="FF000000"/>
            </x14:dataBar>
          </x14:cfRule>
          <xm:sqref>H4:H33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28872-2BBF-4547-A67A-1033DD68C989}">
  <sheetPr>
    <tabColor rgb="FF3B3433"/>
  </sheetPr>
  <dimension ref="A1:BO38"/>
  <sheetViews>
    <sheetView showRuler="0" zoomScaleNormal="100" zoomScaleSheetLayoutView="400" zoomScalePageLayoutView="90" workbookViewId="0">
      <selection activeCell="C5" sqref="C5"/>
    </sheetView>
  </sheetViews>
  <sheetFormatPr defaultColWidth="9.28515625" defaultRowHeight="14.25" customHeight="1" x14ac:dyDescent="0.25"/>
  <cols>
    <col min="1" max="1" width="10.42578125" style="69" bestFit="1" customWidth="1"/>
    <col min="2" max="2" width="88" style="1" bestFit="1" customWidth="1"/>
    <col min="3" max="11" width="3.7109375" style="1" customWidth="1"/>
    <col min="12" max="12" width="4.28515625" style="1" customWidth="1"/>
    <col min="13" max="62" width="3.7109375" style="1" customWidth="1"/>
    <col min="63" max="63" width="0.7109375" style="1" customWidth="1"/>
    <col min="64" max="64" width="6.28515625" style="1" customWidth="1"/>
    <col min="65" max="65" width="3.5703125" style="1" customWidth="1"/>
    <col min="66" max="66" width="5.7109375" style="1" customWidth="1"/>
    <col min="67" max="16384" width="9.28515625" style="1"/>
  </cols>
  <sheetData>
    <row r="1" spans="1:67" ht="14.25" customHeight="1" x14ac:dyDescent="0.2">
      <c r="A1" s="359" t="s">
        <v>296</v>
      </c>
      <c r="B1" s="359" t="s">
        <v>336</v>
      </c>
      <c r="C1" s="370" t="s">
        <v>337</v>
      </c>
      <c r="D1" s="371"/>
      <c r="E1" s="371"/>
      <c r="F1" s="371"/>
      <c r="G1" s="371"/>
      <c r="H1" s="371"/>
      <c r="I1" s="371"/>
      <c r="J1" s="371"/>
      <c r="K1" s="371"/>
      <c r="L1" s="372"/>
      <c r="M1" s="370" t="s">
        <v>338</v>
      </c>
      <c r="N1" s="371"/>
      <c r="O1" s="371"/>
      <c r="P1" s="371"/>
      <c r="Q1" s="371"/>
      <c r="R1" s="371"/>
      <c r="S1" s="371"/>
      <c r="T1" s="371"/>
      <c r="U1" s="371"/>
      <c r="V1" s="371"/>
      <c r="W1" s="371"/>
      <c r="X1" s="372"/>
      <c r="Y1" s="370" t="s">
        <v>339</v>
      </c>
      <c r="Z1" s="371"/>
      <c r="AA1" s="371"/>
      <c r="AB1" s="371"/>
      <c r="AC1" s="371"/>
      <c r="AD1" s="371"/>
      <c r="AE1" s="371"/>
      <c r="AF1" s="371"/>
      <c r="AG1" s="371"/>
      <c r="AH1" s="371"/>
      <c r="AI1" s="371"/>
      <c r="AJ1" s="371"/>
      <c r="AK1" s="371"/>
      <c r="AL1" s="371"/>
      <c r="AM1" s="371"/>
      <c r="AN1" s="371"/>
      <c r="AO1" s="371"/>
      <c r="AP1" s="371"/>
      <c r="AQ1" s="372"/>
      <c r="AR1" s="370" t="s">
        <v>340</v>
      </c>
      <c r="AS1" s="371"/>
      <c r="AT1" s="371"/>
      <c r="AU1" s="371"/>
      <c r="AV1" s="371"/>
      <c r="AW1" s="371"/>
      <c r="AX1" s="371"/>
      <c r="AY1" s="371"/>
      <c r="AZ1" s="371"/>
      <c r="BA1" s="371"/>
      <c r="BB1" s="371"/>
      <c r="BC1" s="371"/>
      <c r="BD1" s="371"/>
      <c r="BE1" s="371"/>
      <c r="BF1" s="371"/>
      <c r="BG1" s="372"/>
      <c r="BH1" s="362" t="s">
        <v>341</v>
      </c>
      <c r="BI1" s="363"/>
      <c r="BJ1" s="364"/>
      <c r="BK1" s="145"/>
      <c r="BL1" s="368" t="s">
        <v>342</v>
      </c>
      <c r="BM1" s="368"/>
      <c r="BN1" s="368"/>
      <c r="BO1" s="76"/>
    </row>
    <row r="2" spans="1:67" ht="14.25" customHeight="1" x14ac:dyDescent="0.2">
      <c r="A2" s="360"/>
      <c r="B2" s="360"/>
      <c r="C2" s="373"/>
      <c r="D2" s="374"/>
      <c r="E2" s="374"/>
      <c r="F2" s="374"/>
      <c r="G2" s="374"/>
      <c r="H2" s="374"/>
      <c r="I2" s="374"/>
      <c r="J2" s="374"/>
      <c r="K2" s="374"/>
      <c r="L2" s="375"/>
      <c r="M2" s="373"/>
      <c r="N2" s="374"/>
      <c r="O2" s="374"/>
      <c r="P2" s="374"/>
      <c r="Q2" s="374"/>
      <c r="R2" s="374"/>
      <c r="S2" s="374"/>
      <c r="T2" s="374"/>
      <c r="U2" s="374"/>
      <c r="V2" s="374"/>
      <c r="W2" s="374"/>
      <c r="X2" s="375"/>
      <c r="Y2" s="373"/>
      <c r="Z2" s="374"/>
      <c r="AA2" s="374"/>
      <c r="AB2" s="374"/>
      <c r="AC2" s="374"/>
      <c r="AD2" s="374"/>
      <c r="AE2" s="374"/>
      <c r="AF2" s="374"/>
      <c r="AG2" s="374"/>
      <c r="AH2" s="374"/>
      <c r="AI2" s="374"/>
      <c r="AJ2" s="374"/>
      <c r="AK2" s="374"/>
      <c r="AL2" s="374"/>
      <c r="AM2" s="374"/>
      <c r="AN2" s="374"/>
      <c r="AO2" s="374"/>
      <c r="AP2" s="374"/>
      <c r="AQ2" s="375"/>
      <c r="AR2" s="373"/>
      <c r="AS2" s="374"/>
      <c r="AT2" s="374"/>
      <c r="AU2" s="374"/>
      <c r="AV2" s="374"/>
      <c r="AW2" s="374"/>
      <c r="AX2" s="374"/>
      <c r="AY2" s="374"/>
      <c r="AZ2" s="374"/>
      <c r="BA2" s="374"/>
      <c r="BB2" s="374"/>
      <c r="BC2" s="374"/>
      <c r="BD2" s="374"/>
      <c r="BE2" s="374"/>
      <c r="BF2" s="374"/>
      <c r="BG2" s="375"/>
      <c r="BH2" s="365"/>
      <c r="BI2" s="366"/>
      <c r="BJ2" s="367"/>
      <c r="BK2" s="142"/>
      <c r="BL2" s="369"/>
      <c r="BM2" s="369"/>
      <c r="BN2" s="369"/>
      <c r="BO2" s="78"/>
    </row>
    <row r="3" spans="1:67" ht="14.25" customHeight="1" x14ac:dyDescent="0.2">
      <c r="A3" s="360"/>
      <c r="B3" s="360"/>
      <c r="C3" s="373"/>
      <c r="D3" s="374"/>
      <c r="E3" s="374"/>
      <c r="F3" s="374"/>
      <c r="G3" s="374"/>
      <c r="H3" s="374"/>
      <c r="I3" s="374"/>
      <c r="J3" s="374"/>
      <c r="K3" s="374"/>
      <c r="L3" s="375"/>
      <c r="M3" s="373"/>
      <c r="N3" s="374"/>
      <c r="O3" s="374"/>
      <c r="P3" s="374"/>
      <c r="Q3" s="374"/>
      <c r="R3" s="374"/>
      <c r="S3" s="374"/>
      <c r="T3" s="374"/>
      <c r="U3" s="374"/>
      <c r="V3" s="374"/>
      <c r="W3" s="374"/>
      <c r="X3" s="375"/>
      <c r="Y3" s="373"/>
      <c r="Z3" s="374"/>
      <c r="AA3" s="374"/>
      <c r="AB3" s="374"/>
      <c r="AC3" s="374"/>
      <c r="AD3" s="374"/>
      <c r="AE3" s="374"/>
      <c r="AF3" s="374"/>
      <c r="AG3" s="374"/>
      <c r="AH3" s="374"/>
      <c r="AI3" s="374"/>
      <c r="AJ3" s="374"/>
      <c r="AK3" s="374"/>
      <c r="AL3" s="374"/>
      <c r="AM3" s="374"/>
      <c r="AN3" s="374"/>
      <c r="AO3" s="374"/>
      <c r="AP3" s="374"/>
      <c r="AQ3" s="375"/>
      <c r="AR3" s="373"/>
      <c r="AS3" s="374"/>
      <c r="AT3" s="374"/>
      <c r="AU3" s="374"/>
      <c r="AV3" s="374"/>
      <c r="AW3" s="374"/>
      <c r="AX3" s="374"/>
      <c r="AY3" s="374"/>
      <c r="AZ3" s="374"/>
      <c r="BA3" s="374"/>
      <c r="BB3" s="374"/>
      <c r="BC3" s="374"/>
      <c r="BD3" s="374"/>
      <c r="BE3" s="374"/>
      <c r="BF3" s="374"/>
      <c r="BG3" s="375"/>
      <c r="BH3" s="365"/>
      <c r="BI3" s="366"/>
      <c r="BJ3" s="367"/>
      <c r="BK3" s="142"/>
      <c r="BL3" s="369"/>
      <c r="BM3" s="369"/>
      <c r="BN3" s="369"/>
      <c r="BO3" s="78"/>
    </row>
    <row r="4" spans="1:67" ht="14.25" customHeight="1" x14ac:dyDescent="0.2">
      <c r="A4" s="361"/>
      <c r="B4" s="361"/>
      <c r="C4" s="104" t="s">
        <v>343</v>
      </c>
      <c r="D4" s="105" t="s">
        <v>344</v>
      </c>
      <c r="E4" s="105" t="s">
        <v>345</v>
      </c>
      <c r="F4" s="105" t="s">
        <v>346</v>
      </c>
      <c r="G4" s="105" t="s">
        <v>347</v>
      </c>
      <c r="H4" s="105" t="s">
        <v>348</v>
      </c>
      <c r="I4" s="105" t="s">
        <v>349</v>
      </c>
      <c r="J4" s="105" t="s">
        <v>350</v>
      </c>
      <c r="K4" s="105" t="s">
        <v>351</v>
      </c>
      <c r="L4" s="106" t="s">
        <v>352</v>
      </c>
      <c r="M4" s="166" t="s">
        <v>353</v>
      </c>
      <c r="N4" s="167" t="s">
        <v>354</v>
      </c>
      <c r="O4" s="167" t="s">
        <v>355</v>
      </c>
      <c r="P4" s="167" t="s">
        <v>356</v>
      </c>
      <c r="Q4" s="167" t="s">
        <v>357</v>
      </c>
      <c r="R4" s="167" t="s">
        <v>358</v>
      </c>
      <c r="S4" s="167" t="s">
        <v>359</v>
      </c>
      <c r="T4" s="167" t="s">
        <v>360</v>
      </c>
      <c r="U4" s="167" t="s">
        <v>361</v>
      </c>
      <c r="V4" s="167" t="s">
        <v>362</v>
      </c>
      <c r="W4" s="167" t="s">
        <v>363</v>
      </c>
      <c r="X4" s="168" t="s">
        <v>364</v>
      </c>
      <c r="Y4" s="104" t="s">
        <v>365</v>
      </c>
      <c r="Z4" s="105" t="s">
        <v>366</v>
      </c>
      <c r="AA4" s="105" t="s">
        <v>367</v>
      </c>
      <c r="AB4" s="105" t="s">
        <v>368</v>
      </c>
      <c r="AC4" s="105" t="s">
        <v>369</v>
      </c>
      <c r="AD4" s="105" t="s">
        <v>370</v>
      </c>
      <c r="AE4" s="105" t="s">
        <v>371</v>
      </c>
      <c r="AF4" s="105" t="s">
        <v>372</v>
      </c>
      <c r="AG4" s="105" t="s">
        <v>373</v>
      </c>
      <c r="AH4" s="105" t="s">
        <v>374</v>
      </c>
      <c r="AI4" s="105" t="s">
        <v>375</v>
      </c>
      <c r="AJ4" s="105" t="s">
        <v>376</v>
      </c>
      <c r="AK4" s="105" t="s">
        <v>377</v>
      </c>
      <c r="AL4" s="105" t="s">
        <v>378</v>
      </c>
      <c r="AM4" s="105" t="s">
        <v>379</v>
      </c>
      <c r="AN4" s="105" t="s">
        <v>380</v>
      </c>
      <c r="AO4" s="105" t="s">
        <v>381</v>
      </c>
      <c r="AP4" s="105" t="s">
        <v>382</v>
      </c>
      <c r="AQ4" s="106" t="s">
        <v>383</v>
      </c>
      <c r="AR4" s="166" t="s">
        <v>384</v>
      </c>
      <c r="AS4" s="167" t="s">
        <v>385</v>
      </c>
      <c r="AT4" s="167" t="s">
        <v>386</v>
      </c>
      <c r="AU4" s="167" t="s">
        <v>387</v>
      </c>
      <c r="AV4" s="167" t="s">
        <v>388</v>
      </c>
      <c r="AW4" s="167" t="s">
        <v>389</v>
      </c>
      <c r="AX4" s="167" t="s">
        <v>390</v>
      </c>
      <c r="AY4" s="167" t="s">
        <v>391</v>
      </c>
      <c r="AZ4" s="167" t="s">
        <v>392</v>
      </c>
      <c r="BA4" s="167" t="s">
        <v>393</v>
      </c>
      <c r="BB4" s="167" t="s">
        <v>394</v>
      </c>
      <c r="BC4" s="167" t="s">
        <v>395</v>
      </c>
      <c r="BD4" s="167" t="s">
        <v>396</v>
      </c>
      <c r="BE4" s="167" t="s">
        <v>397</v>
      </c>
      <c r="BF4" s="167" t="s">
        <v>398</v>
      </c>
      <c r="BG4" s="168" t="s">
        <v>399</v>
      </c>
      <c r="BH4" s="104" t="s">
        <v>400</v>
      </c>
      <c r="BI4" s="105" t="s">
        <v>401</v>
      </c>
      <c r="BJ4" s="106" t="s">
        <v>402</v>
      </c>
      <c r="BK4" s="143"/>
      <c r="BL4" s="369"/>
      <c r="BM4" s="369"/>
      <c r="BN4" s="369"/>
      <c r="BO4" s="78"/>
    </row>
    <row r="5" spans="1:67" ht="14.25" customHeight="1" x14ac:dyDescent="0.25">
      <c r="A5" s="169" t="s">
        <v>305</v>
      </c>
      <c r="B5" s="172" t="s">
        <v>403</v>
      </c>
      <c r="C5" s="134">
        <f>IF(SUMIFS(Table1[[Result for year]:[Result for year]],Table1[[Project reference]:[Project reference]], $A5,Table1[[Standard Indicator ID Short]:[Standard Indicator ID Short]], C$4) &gt; 0, 1, 0)</f>
        <v>0</v>
      </c>
      <c r="D5" s="135">
        <f>IF(SUMIFS(Table1[[Result for year]:[Result for year]],Table1[[Project reference]:[Project reference]], $A5,Table1[[Standard Indicator ID Short]:[Standard Indicator ID Short]], D$4) &gt; 0, 1, 0)</f>
        <v>0</v>
      </c>
      <c r="E5" s="135">
        <f>IF(SUMIFS(Table1[[Result for year]:[Result for year]],Table1[[Project reference]:[Project reference]], $A5,Table1[[Standard Indicator ID Short]:[Standard Indicator ID Short]], E$4) &gt; 0, 1, 0)</f>
        <v>0</v>
      </c>
      <c r="F5" s="135">
        <f>IF(SUMIFS(Table1[[Result for year]:[Result for year]],Table1[[Project reference]:[Project reference]], $A5,Table1[[Standard Indicator ID Short]:[Standard Indicator ID Short]], F$4) &gt; 0, 1, 0)</f>
        <v>0</v>
      </c>
      <c r="G5" s="135">
        <f>IF(SUMIFS(Table1[[Result for year]:[Result for year]],Table1[[Project reference]:[Project reference]], $A5,Table1[[Standard Indicator ID Short]:[Standard Indicator ID Short]], G$4) &gt; 0, 1, 0)</f>
        <v>0</v>
      </c>
      <c r="H5" s="135">
        <f>IF(SUMIFS(Table1[[Result for year]:[Result for year]],Table1[[Project reference]:[Project reference]], $A5,Table1[[Standard Indicator ID Short]:[Standard Indicator ID Short]], H$4) &gt; 0, 1, 0)</f>
        <v>0</v>
      </c>
      <c r="I5" s="135">
        <f>IF(SUMIFS(Table1[[Result for year]:[Result for year]],Table1[[Project reference]:[Project reference]], $A5,Table1[[Standard Indicator ID Short]:[Standard Indicator ID Short]], I$4) &gt; 0, 1, 0)</f>
        <v>0</v>
      </c>
      <c r="J5" s="135">
        <f>IF(SUMIFS(Table1[[Result for year]:[Result for year]],Table1[[Project reference]:[Project reference]], $A5,Table1[[Standard Indicator ID Short]:[Standard Indicator ID Short]], J$4) &gt; 0, 1, 0)</f>
        <v>0</v>
      </c>
      <c r="K5" s="135">
        <f>IF(SUMIFS(Table1[[Result for year]:[Result for year]],Table1[[Project reference]:[Project reference]], $A5,Table1[[Standard Indicator ID Short]:[Standard Indicator ID Short]], K$4) &gt; 0, 1, 0)</f>
        <v>0</v>
      </c>
      <c r="L5" s="135">
        <f>IF(SUMIFS(Table1[[Result for year]:[Result for year]],Table1[[Project reference]:[Project reference]], $A5,Table1[[Standard Indicator ID Short]:[Standard Indicator ID Short]], L$4) &gt; 0, 1, 0)</f>
        <v>0</v>
      </c>
      <c r="M5" s="134">
        <f>IF(SUMIFS(Table1[[Result for year]:[Result for year]],Table1[[Project reference]:[Project reference]], $A5,Table1[[Standard Indicator ID Short]:[Standard Indicator ID Short]], M$4) &gt; 0, 1, 0)</f>
        <v>0</v>
      </c>
      <c r="N5" s="135">
        <f>IF(SUMIFS(Table1[[Result for year]:[Result for year]],Table1[[Project reference]:[Project reference]], $A5,Table1[[Standard Indicator ID Short]:[Standard Indicator ID Short]], N$4) &gt; 0, 1, 0)</f>
        <v>0</v>
      </c>
      <c r="O5" s="135">
        <f>IF(SUMIFS(Table1[[Result for year]:[Result for year]],Table1[[Project reference]:[Project reference]], $A5,Table1[[Standard Indicator ID Short]:[Standard Indicator ID Short]], O$4) &gt; 0, 1, 0)</f>
        <v>0</v>
      </c>
      <c r="P5" s="135">
        <f>IF(SUMIFS(Table1[[Result for year]:[Result for year]],Table1[[Project reference]:[Project reference]], $A5,Table1[[Standard Indicator ID Short]:[Standard Indicator ID Short]], P$4) &gt; 0, 1, 0)</f>
        <v>0</v>
      </c>
      <c r="Q5" s="135">
        <f>IF(SUMIFS(Table1[[Result for year]:[Result for year]],Table1[[Project reference]:[Project reference]], $A5,Table1[[Standard Indicator ID Short]:[Standard Indicator ID Short]], Q$4) &gt; 0, 1, 0)</f>
        <v>0</v>
      </c>
      <c r="R5" s="135">
        <f>IF(SUMIFS(Table1[[Result for year]:[Result for year]],Table1[[Project reference]:[Project reference]], $A5,Table1[[Standard Indicator ID Short]:[Standard Indicator ID Short]], R$4) &gt; 0, 1, 0)</f>
        <v>0</v>
      </c>
      <c r="S5" s="135">
        <f>IF(SUMIFS(Table1[[Result for year]:[Result for year]],Table1[[Project reference]:[Project reference]], $A5,Table1[[Standard Indicator ID Short]:[Standard Indicator ID Short]], S$4) &gt; 0, 1, 0)</f>
        <v>0</v>
      </c>
      <c r="T5" s="135">
        <f>IF(SUMIFS(Table1[[Result for year]:[Result for year]],Table1[[Project reference]:[Project reference]], $A5,Table1[[Standard Indicator ID Short]:[Standard Indicator ID Short]], T$4) &gt; 0, 1, 0)</f>
        <v>0</v>
      </c>
      <c r="U5" s="135">
        <f>IF(SUMIFS(Table1[[Result for year]:[Result for year]],Table1[[Project reference]:[Project reference]], $A5,Table1[[Standard Indicator ID Short]:[Standard Indicator ID Short]], U$4) &gt; 0, 1, 0)</f>
        <v>0</v>
      </c>
      <c r="V5" s="135">
        <f>IF(SUMIFS(Table1[[Result for year]:[Result for year]],Table1[[Project reference]:[Project reference]], $A5,Table1[[Standard Indicator ID Short]:[Standard Indicator ID Short]], V$4) &gt; 0, 1, 0)</f>
        <v>0</v>
      </c>
      <c r="W5" s="135">
        <f>IF(SUMIFS(Table1[[Result for year]:[Result for year]],Table1[[Project reference]:[Project reference]], $A5,Table1[[Standard Indicator ID Short]:[Standard Indicator ID Short]], W$4) &gt; 0, 1, 0)</f>
        <v>0</v>
      </c>
      <c r="X5" s="135">
        <f>IF(SUMIFS(Table1[[Result for year]:[Result for year]],Table1[[Project reference]:[Project reference]], $A5,Table1[[Standard Indicator ID Short]:[Standard Indicator ID Short]], X$4) &gt; 0, 1, 0)</f>
        <v>0</v>
      </c>
      <c r="Y5" s="134">
        <f>IF(SUMIFS(Table1[[Result for year]:[Result for year]],Table1[[Project reference]:[Project reference]], $A5,Table1[[Standard Indicator ID Short]:[Standard Indicator ID Short]], Y$4) &gt; 0, 1, 0)</f>
        <v>0</v>
      </c>
      <c r="Z5" s="135">
        <f>IF(SUMIFS(Table1[[Result for year]:[Result for year]],Table1[[Project reference]:[Project reference]], $A5,Table1[[Standard Indicator ID Short]:[Standard Indicator ID Short]], Z$4) &gt; 0, 1, 0)</f>
        <v>1</v>
      </c>
      <c r="AA5" s="135">
        <f>IF(SUMIFS(Table1[[Result for year]:[Result for year]],Table1[[Project reference]:[Project reference]], $A5,Table1[[Standard Indicator ID Short]:[Standard Indicator ID Short]], AA$4) &gt; 0, 1, 0)</f>
        <v>0</v>
      </c>
      <c r="AB5" s="135">
        <f>IF(SUMIFS(Table1[[Result for year]:[Result for year]],Table1[[Project reference]:[Project reference]], $A5,Table1[[Standard Indicator ID Short]:[Standard Indicator ID Short]], AB$4) &gt; 0, 1, 0)</f>
        <v>0</v>
      </c>
      <c r="AC5" s="135">
        <f>IF(SUMIFS(Table1[[Result for year]:[Result for year]],Table1[[Project reference]:[Project reference]], $A5,Table1[[Standard Indicator ID Short]:[Standard Indicator ID Short]], AC$4) &gt; 0, 1, 0)</f>
        <v>0</v>
      </c>
      <c r="AD5" s="135">
        <f>IF(SUMIFS(Table1[[Result for year]:[Result for year]],Table1[[Project reference]:[Project reference]], $A5,Table1[[Standard Indicator ID Short]:[Standard Indicator ID Short]], AD$4) &gt; 0, 1, 0)</f>
        <v>0</v>
      </c>
      <c r="AE5" s="135">
        <f>IF(SUMIFS(Table1[[Result for year]:[Result for year]],Table1[[Project reference]:[Project reference]], $A5,Table1[[Standard Indicator ID Short]:[Standard Indicator ID Short]], AE$4) &gt; 0, 1, 0)</f>
        <v>0</v>
      </c>
      <c r="AF5" s="135">
        <f>IF(SUMIFS(Table1[[Result for year]:[Result for year]],Table1[[Project reference]:[Project reference]], $A5,Table1[[Standard Indicator ID Short]:[Standard Indicator ID Short]], AF$4) &gt; 0, 1, 0)</f>
        <v>0</v>
      </c>
      <c r="AG5" s="135">
        <f>IF(SUMIFS(Table1[[Result for year]:[Result for year]],Table1[[Project reference]:[Project reference]], $A5,Table1[[Standard Indicator ID Short]:[Standard Indicator ID Short]], AG$4) &gt; 0, 1, 0)</f>
        <v>0</v>
      </c>
      <c r="AH5" s="135">
        <f>IF(SUMIFS(Table1[[Result for year]:[Result for year]],Table1[[Project reference]:[Project reference]], $A5,Table1[[Standard Indicator ID Short]:[Standard Indicator ID Short]], AH$4) &gt; 0, 1, 0)</f>
        <v>0</v>
      </c>
      <c r="AI5" s="135">
        <f>IF(SUMIFS(Table1[[Result for year]:[Result for year]],Table1[[Project reference]:[Project reference]], $A5,Table1[[Standard Indicator ID Short]:[Standard Indicator ID Short]], AI$4) &gt; 0, 1, 0)</f>
        <v>0</v>
      </c>
      <c r="AJ5" s="135">
        <f>IF(SUMIFS(Table1[[Result for year]:[Result for year]],Table1[[Project reference]:[Project reference]], $A5,Table1[[Standard Indicator ID Short]:[Standard Indicator ID Short]], AJ$4) &gt; 0, 1, 0)</f>
        <v>0</v>
      </c>
      <c r="AK5" s="135">
        <f>IF(SUMIFS(Table1[[Result for year]:[Result for year]],Table1[[Project reference]:[Project reference]], $A5,Table1[[Standard Indicator ID Short]:[Standard Indicator ID Short]], AK$4) &gt; 0, 1, 0)</f>
        <v>0</v>
      </c>
      <c r="AL5" s="135">
        <f>IF(SUMIFS(Table1[[Result for year]:[Result for year]],Table1[[Project reference]:[Project reference]], $A5,Table1[[Standard Indicator ID Short]:[Standard Indicator ID Short]], AL$4) &gt; 0, 1, 0)</f>
        <v>0</v>
      </c>
      <c r="AM5" s="135">
        <f>IF(SUMIFS(Table1[[Result for year]:[Result for year]],Table1[[Project reference]:[Project reference]], $A5,Table1[[Standard Indicator ID Short]:[Standard Indicator ID Short]], AM$4) &gt; 0, 1, 0)</f>
        <v>0</v>
      </c>
      <c r="AN5" s="135">
        <f>IF(SUMIFS(Table1[[Result for year]:[Result for year]],Table1[[Project reference]:[Project reference]], $A5,Table1[[Standard Indicator ID Short]:[Standard Indicator ID Short]], AN$4) &gt; 0, 1, 0)</f>
        <v>0</v>
      </c>
      <c r="AO5" s="135">
        <f>IF(SUMIFS(Table1[[Result for year]:[Result for year]],Table1[[Project reference]:[Project reference]], $A5,Table1[[Standard Indicator ID Short]:[Standard Indicator ID Short]], AO$4) &gt; 0, 1, 0)</f>
        <v>0</v>
      </c>
      <c r="AP5" s="135">
        <f>IF(SUMIFS(Table1[[Result for year]:[Result for year]],Table1[[Project reference]:[Project reference]], $A5,Table1[[Standard Indicator ID Short]:[Standard Indicator ID Short]], AP$4) &gt; 0, 1, 0)</f>
        <v>0</v>
      </c>
      <c r="AQ5" s="135">
        <f>IF(SUMIFS(Table1[[Result for year]:[Result for year]],Table1[[Project reference]:[Project reference]], $A5,Table1[[Standard Indicator ID Short]:[Standard Indicator ID Short]], AQ$4) &gt; 0, 1, 0)</f>
        <v>0</v>
      </c>
      <c r="AR5" s="134">
        <f>IF(SUMIFS(Table1[[Result for year]:[Result for year]],Table1[[Project reference]:[Project reference]], $A5,Table1[[Standard Indicator ID Short]:[Standard Indicator ID Short]], AR$4) &gt; 0, 1, 0)</f>
        <v>0</v>
      </c>
      <c r="AS5" s="135">
        <f>IF(SUMIFS(Table1[[Result for year]:[Result for year]],Table1[[Project reference]:[Project reference]], $A5,Table1[[Standard Indicator ID Short]:[Standard Indicator ID Short]], AS$4) &gt; 0, 1, 0)</f>
        <v>0</v>
      </c>
      <c r="AT5" s="135">
        <f>IF(SUMIFS(Table1[[Result for year]:[Result for year]],Table1[[Project reference]:[Project reference]], $A5,Table1[[Standard Indicator ID Short]:[Standard Indicator ID Short]], AT$4) &gt; 0, 1, 0)</f>
        <v>0</v>
      </c>
      <c r="AU5" s="135">
        <f>IF(SUMIFS(Table1[[Result for year]:[Result for year]],Table1[[Project reference]:[Project reference]], $A5,Table1[[Standard Indicator ID Short]:[Standard Indicator ID Short]], AU$4) &gt; 0, 1, 0)</f>
        <v>0</v>
      </c>
      <c r="AV5" s="135">
        <f>IF(SUMIFS(Table1[[Result for year]:[Result for year]],Table1[[Project reference]:[Project reference]], $A5,Table1[[Standard Indicator ID Short]:[Standard Indicator ID Short]], AV$4) &gt; 0, 1, 0)</f>
        <v>0</v>
      </c>
      <c r="AW5" s="135">
        <f>IF(SUMIFS(Table1[[Result for year]:[Result for year]],Table1[[Project reference]:[Project reference]], $A5,Table1[[Standard Indicator ID Short]:[Standard Indicator ID Short]], AW$4) &gt; 0, 1, 0)</f>
        <v>0</v>
      </c>
      <c r="AX5" s="135">
        <f>IF(SUMIFS(Table1[[Result for year]:[Result for year]],Table1[[Project reference]:[Project reference]], $A5,Table1[[Standard Indicator ID Short]:[Standard Indicator ID Short]], AX$4) &gt; 0, 1, 0)</f>
        <v>0</v>
      </c>
      <c r="AY5" s="135">
        <f>IF(SUMIFS(Table1[[Result for year]:[Result for year]],Table1[[Project reference]:[Project reference]], $A5,Table1[[Standard Indicator ID Short]:[Standard Indicator ID Short]], AY$4) &gt; 0, 1, 0)</f>
        <v>0</v>
      </c>
      <c r="AZ5" s="135">
        <f>IF(SUMIFS(Table1[[Result for year]:[Result for year]],Table1[[Project reference]:[Project reference]], $A5,Table1[[Standard Indicator ID Short]:[Standard Indicator ID Short]], AZ$4) &gt; 0, 1, 0)</f>
        <v>0</v>
      </c>
      <c r="BA5" s="135">
        <f>IF(SUMIFS(Table1[[Result for year]:[Result for year]],Table1[[Project reference]:[Project reference]], $A5,Table1[[Standard Indicator ID Short]:[Standard Indicator ID Short]], BA$4) &gt; 0, 1, 0)</f>
        <v>0</v>
      </c>
      <c r="BB5" s="135">
        <f>IF(SUMIFS(Table1[[Result for year]:[Result for year]],Table1[[Project reference]:[Project reference]], $A5,Table1[[Standard Indicator ID Short]:[Standard Indicator ID Short]], BB$4) &gt; 0, 1, 0)</f>
        <v>0</v>
      </c>
      <c r="BC5" s="135">
        <f>IF(SUMIFS(Table1[[Result for year]:[Result for year]],Table1[[Project reference]:[Project reference]], $A5,Table1[[Standard Indicator ID Short]:[Standard Indicator ID Short]], BC$4) &gt; 0, 1, 0)</f>
        <v>0</v>
      </c>
      <c r="BD5" s="135">
        <f>IF(SUMIFS(Table1[[Result for year]:[Result for year]],Table1[[Project reference]:[Project reference]], $A5,Table1[[Standard Indicator ID Short]:[Standard Indicator ID Short]], BD$4) &gt; 0, 1, 0)</f>
        <v>0</v>
      </c>
      <c r="BE5" s="135">
        <f>IF(SUMIFS(Table1[[Result for year]:[Result for year]],Table1[[Project reference]:[Project reference]], $A5,Table1[[Standard Indicator ID Short]:[Standard Indicator ID Short]], BE$4) &gt; 0, 1, 0)</f>
        <v>0</v>
      </c>
      <c r="BF5" s="135">
        <f>IF(SUMIFS(Table1[[Result for year]:[Result for year]],Table1[[Project reference]:[Project reference]], $A5,Table1[[Standard Indicator ID Short]:[Standard Indicator ID Short]], BF$4) &gt; 0, 1, 0)</f>
        <v>0</v>
      </c>
      <c r="BG5" s="136">
        <f>IF(SUMIFS(Table1[[Result for year]:[Result for year]],Table1[[Project reference]:[Project reference]], $A5,Table1[[Standard Indicator ID Short]:[Standard Indicator ID Short]], BG$4) &gt; 0, 1, 0)</f>
        <v>0</v>
      </c>
      <c r="BH5" s="134">
        <f>IF(SUMIFS(Table1[[Result for year]:[Result for year]],Table1[[Project reference]:[Project reference]], $A5,Table1[[Standard Indicator ID Short]:[Standard Indicator ID Short]], BH$4) &gt; 0, 1, 0)</f>
        <v>0</v>
      </c>
      <c r="BI5" s="135">
        <f>IF(SUMIFS(Table1[[Result for year]:[Result for year]],Table1[[Project reference]:[Project reference]], $A5,Table1[[Standard Indicator ID Short]:[Standard Indicator ID Short]], BI$4) &gt; 0, 1, 0)</f>
        <v>0</v>
      </c>
      <c r="BJ5" s="136">
        <f>IF(SUMIFS(Table1[[Result for year]:[Result for year]],Table1[[Project reference]:[Project reference]], $A5,Table1[[Standard Indicator ID Short]:[Standard Indicator ID Short]], BJ$4) &gt; 0, 1, 0)</f>
        <v>0</v>
      </c>
      <c r="BK5" s="144"/>
      <c r="BL5" s="79"/>
      <c r="BM5" s="157">
        <f>COUNTIF($C5:$BJ5, 1)</f>
        <v>1</v>
      </c>
      <c r="BN5" s="79"/>
      <c r="BO5" s="78"/>
    </row>
    <row r="6" spans="1:67" ht="14.25" customHeight="1" x14ac:dyDescent="0.25">
      <c r="A6" s="170" t="s">
        <v>306</v>
      </c>
      <c r="B6" s="173" t="s">
        <v>404</v>
      </c>
      <c r="C6" s="137">
        <f>IF(SUMIFS(Table1[[Result for year]:[Result for year]],Table1[[Project reference]:[Project reference]], $A6,Table1[[Standard Indicator ID Short]:[Standard Indicator ID Short]], C$4) &gt; 0, 1, 0)</f>
        <v>0</v>
      </c>
      <c r="D6" s="232">
        <f>IF(SUMIFS(Table1[[Result for year]:[Result for year]],Table1[[Project reference]:[Project reference]], $A6,Table1[[Standard Indicator ID Short]:[Standard Indicator ID Short]], D$4) &gt; 0, 1, 0)</f>
        <v>0</v>
      </c>
      <c r="E6" s="232">
        <f>IF(SUMIFS(Table1[[Result for year]:[Result for year]],Table1[[Project reference]:[Project reference]], $A6,Table1[[Standard Indicator ID Short]:[Standard Indicator ID Short]], E$4) &gt; 0, 1, 0)</f>
        <v>1</v>
      </c>
      <c r="F6" s="232">
        <f>IF(SUMIFS(Table1[[Result for year]:[Result for year]],Table1[[Project reference]:[Project reference]], $A6,Table1[[Standard Indicator ID Short]:[Standard Indicator ID Short]], F$4) &gt; 0, 1, 0)</f>
        <v>0</v>
      </c>
      <c r="G6" s="232">
        <f>IF(SUMIFS(Table1[[Result for year]:[Result for year]],Table1[[Project reference]:[Project reference]], $A6,Table1[[Standard Indicator ID Short]:[Standard Indicator ID Short]], G$4) &gt; 0, 1, 0)</f>
        <v>0</v>
      </c>
      <c r="H6" s="232">
        <f>IF(SUMIFS(Table1[[Result for year]:[Result for year]],Table1[[Project reference]:[Project reference]], $A6,Table1[[Standard Indicator ID Short]:[Standard Indicator ID Short]], H$4) &gt; 0, 1, 0)</f>
        <v>0</v>
      </c>
      <c r="I6" s="232">
        <f>IF(SUMIFS(Table1[[Result for year]:[Result for year]],Table1[[Project reference]:[Project reference]], $A6,Table1[[Standard Indicator ID Short]:[Standard Indicator ID Short]], I$4) &gt; 0, 1, 0)</f>
        <v>0</v>
      </c>
      <c r="J6" s="232">
        <f>IF(SUMIFS(Table1[[Result for year]:[Result for year]],Table1[[Project reference]:[Project reference]], $A6,Table1[[Standard Indicator ID Short]:[Standard Indicator ID Short]], J$4) &gt; 0, 1, 0)</f>
        <v>0</v>
      </c>
      <c r="K6" s="232">
        <f>IF(SUMIFS(Table1[[Result for year]:[Result for year]],Table1[[Project reference]:[Project reference]], $A6,Table1[[Standard Indicator ID Short]:[Standard Indicator ID Short]], K$4) &gt; 0, 1, 0)</f>
        <v>0</v>
      </c>
      <c r="L6" s="232">
        <f>IF(SUMIFS(Table1[[Result for year]:[Result for year]],Table1[[Project reference]:[Project reference]], $A6,Table1[[Standard Indicator ID Short]:[Standard Indicator ID Short]], L$4) &gt; 0, 1, 0)</f>
        <v>0</v>
      </c>
      <c r="M6" s="137">
        <f>IF(SUMIFS(Table1[[Result for year]:[Result for year]],Table1[[Project reference]:[Project reference]], $A6,Table1[[Standard Indicator ID Short]:[Standard Indicator ID Short]], M$4) &gt; 0, 1, 0)</f>
        <v>0</v>
      </c>
      <c r="N6" s="232">
        <f>IF(SUMIFS(Table1[[Result for year]:[Result for year]],Table1[[Project reference]:[Project reference]], $A6,Table1[[Standard Indicator ID Short]:[Standard Indicator ID Short]], N$4) &gt; 0, 1, 0)</f>
        <v>0</v>
      </c>
      <c r="O6" s="232">
        <f>IF(SUMIFS(Table1[[Result for year]:[Result for year]],Table1[[Project reference]:[Project reference]], $A6,Table1[[Standard Indicator ID Short]:[Standard Indicator ID Short]], O$4) &gt; 0, 1, 0)</f>
        <v>0</v>
      </c>
      <c r="P6" s="232">
        <f>IF(SUMIFS(Table1[[Result for year]:[Result for year]],Table1[[Project reference]:[Project reference]], $A6,Table1[[Standard Indicator ID Short]:[Standard Indicator ID Short]], P$4) &gt; 0, 1, 0)</f>
        <v>0</v>
      </c>
      <c r="Q6" s="232">
        <f>IF(SUMIFS(Table1[[Result for year]:[Result for year]],Table1[[Project reference]:[Project reference]], $A6,Table1[[Standard Indicator ID Short]:[Standard Indicator ID Short]], Q$4) &gt; 0, 1, 0)</f>
        <v>0</v>
      </c>
      <c r="R6" s="232">
        <f>IF(SUMIFS(Table1[[Result for year]:[Result for year]],Table1[[Project reference]:[Project reference]], $A6,Table1[[Standard Indicator ID Short]:[Standard Indicator ID Short]], R$4) &gt; 0, 1, 0)</f>
        <v>0</v>
      </c>
      <c r="S6" s="232">
        <f>IF(SUMIFS(Table1[[Result for year]:[Result for year]],Table1[[Project reference]:[Project reference]], $A6,Table1[[Standard Indicator ID Short]:[Standard Indicator ID Short]], S$4) &gt; 0, 1, 0)</f>
        <v>0</v>
      </c>
      <c r="T6" s="232">
        <f>IF(SUMIFS(Table1[[Result for year]:[Result for year]],Table1[[Project reference]:[Project reference]], $A6,Table1[[Standard Indicator ID Short]:[Standard Indicator ID Short]], T$4) &gt; 0, 1, 0)</f>
        <v>0</v>
      </c>
      <c r="U6" s="232">
        <f>IF(SUMIFS(Table1[[Result for year]:[Result for year]],Table1[[Project reference]:[Project reference]], $A6,Table1[[Standard Indicator ID Short]:[Standard Indicator ID Short]], U$4) &gt; 0, 1, 0)</f>
        <v>0</v>
      </c>
      <c r="V6" s="232">
        <f>IF(SUMIFS(Table1[[Result for year]:[Result for year]],Table1[[Project reference]:[Project reference]], $A6,Table1[[Standard Indicator ID Short]:[Standard Indicator ID Short]], V$4) &gt; 0, 1, 0)</f>
        <v>0</v>
      </c>
      <c r="W6" s="232">
        <f>IF(SUMIFS(Table1[[Result for year]:[Result for year]],Table1[[Project reference]:[Project reference]], $A6,Table1[[Standard Indicator ID Short]:[Standard Indicator ID Short]], W$4) &gt; 0, 1, 0)</f>
        <v>0</v>
      </c>
      <c r="X6" s="232">
        <f>IF(SUMIFS(Table1[[Result for year]:[Result for year]],Table1[[Project reference]:[Project reference]], $A6,Table1[[Standard Indicator ID Short]:[Standard Indicator ID Short]], X$4) &gt; 0, 1, 0)</f>
        <v>0</v>
      </c>
      <c r="Y6" s="137">
        <f>IF(SUMIFS(Table1[[Result for year]:[Result for year]],Table1[[Project reference]:[Project reference]], $A6,Table1[[Standard Indicator ID Short]:[Standard Indicator ID Short]], Y$4) &gt; 0, 1, 0)</f>
        <v>0</v>
      </c>
      <c r="Z6" s="232">
        <f>IF(SUMIFS(Table1[[Result for year]:[Result for year]],Table1[[Project reference]:[Project reference]], $A6,Table1[[Standard Indicator ID Short]:[Standard Indicator ID Short]], Z$4) &gt; 0, 1, 0)</f>
        <v>0</v>
      </c>
      <c r="AA6" s="232">
        <f>IF(SUMIFS(Table1[[Result for year]:[Result for year]],Table1[[Project reference]:[Project reference]], $A6,Table1[[Standard Indicator ID Short]:[Standard Indicator ID Short]], AA$4) &gt; 0, 1, 0)</f>
        <v>0</v>
      </c>
      <c r="AB6" s="232">
        <f>IF(SUMIFS(Table1[[Result for year]:[Result for year]],Table1[[Project reference]:[Project reference]], $A6,Table1[[Standard Indicator ID Short]:[Standard Indicator ID Short]], AB$4) &gt; 0, 1, 0)</f>
        <v>0</v>
      </c>
      <c r="AC6" s="232">
        <f>IF(SUMIFS(Table1[[Result for year]:[Result for year]],Table1[[Project reference]:[Project reference]], $A6,Table1[[Standard Indicator ID Short]:[Standard Indicator ID Short]], AC$4) &gt; 0, 1, 0)</f>
        <v>0</v>
      </c>
      <c r="AD6" s="232">
        <f>IF(SUMIFS(Table1[[Result for year]:[Result for year]],Table1[[Project reference]:[Project reference]], $A6,Table1[[Standard Indicator ID Short]:[Standard Indicator ID Short]], AD$4) &gt; 0, 1, 0)</f>
        <v>0</v>
      </c>
      <c r="AE6" s="232">
        <f>IF(SUMIFS(Table1[[Result for year]:[Result for year]],Table1[[Project reference]:[Project reference]], $A6,Table1[[Standard Indicator ID Short]:[Standard Indicator ID Short]], AE$4) &gt; 0, 1, 0)</f>
        <v>0</v>
      </c>
      <c r="AF6" s="232">
        <f>IF(SUMIFS(Table1[[Result for year]:[Result for year]],Table1[[Project reference]:[Project reference]], $A6,Table1[[Standard Indicator ID Short]:[Standard Indicator ID Short]], AF$4) &gt; 0, 1, 0)</f>
        <v>0</v>
      </c>
      <c r="AG6" s="232">
        <f>IF(SUMIFS(Table1[[Result for year]:[Result for year]],Table1[[Project reference]:[Project reference]], $A6,Table1[[Standard Indicator ID Short]:[Standard Indicator ID Short]], AG$4) &gt; 0, 1, 0)</f>
        <v>0</v>
      </c>
      <c r="AH6" s="232">
        <f>IF(SUMIFS(Table1[[Result for year]:[Result for year]],Table1[[Project reference]:[Project reference]], $A6,Table1[[Standard Indicator ID Short]:[Standard Indicator ID Short]], AH$4) &gt; 0, 1, 0)</f>
        <v>0</v>
      </c>
      <c r="AI6" s="232">
        <f>IF(SUMIFS(Table1[[Result for year]:[Result for year]],Table1[[Project reference]:[Project reference]], $A6,Table1[[Standard Indicator ID Short]:[Standard Indicator ID Short]], AI$4) &gt; 0, 1, 0)</f>
        <v>0</v>
      </c>
      <c r="AJ6" s="232">
        <f>IF(SUMIFS(Table1[[Result for year]:[Result for year]],Table1[[Project reference]:[Project reference]], $A6,Table1[[Standard Indicator ID Short]:[Standard Indicator ID Short]], AJ$4) &gt; 0, 1, 0)</f>
        <v>0</v>
      </c>
      <c r="AK6" s="232">
        <f>IF(SUMIFS(Table1[[Result for year]:[Result for year]],Table1[[Project reference]:[Project reference]], $A6,Table1[[Standard Indicator ID Short]:[Standard Indicator ID Short]], AK$4) &gt; 0, 1, 0)</f>
        <v>0</v>
      </c>
      <c r="AL6" s="232">
        <f>IF(SUMIFS(Table1[[Result for year]:[Result for year]],Table1[[Project reference]:[Project reference]], $A6,Table1[[Standard Indicator ID Short]:[Standard Indicator ID Short]], AL$4) &gt; 0, 1, 0)</f>
        <v>0</v>
      </c>
      <c r="AM6" s="232">
        <f>IF(SUMIFS(Table1[[Result for year]:[Result for year]],Table1[[Project reference]:[Project reference]], $A6,Table1[[Standard Indicator ID Short]:[Standard Indicator ID Short]], AM$4) &gt; 0, 1, 0)</f>
        <v>0</v>
      </c>
      <c r="AN6" s="232">
        <f>IF(SUMIFS(Table1[[Result for year]:[Result for year]],Table1[[Project reference]:[Project reference]], $A6,Table1[[Standard Indicator ID Short]:[Standard Indicator ID Short]], AN$4) &gt; 0, 1, 0)</f>
        <v>0</v>
      </c>
      <c r="AO6" s="232">
        <f>IF(SUMIFS(Table1[[Result for year]:[Result for year]],Table1[[Project reference]:[Project reference]], $A6,Table1[[Standard Indicator ID Short]:[Standard Indicator ID Short]], AO$4) &gt; 0, 1, 0)</f>
        <v>0</v>
      </c>
      <c r="AP6" s="232">
        <f>IF(SUMIFS(Table1[[Result for year]:[Result for year]],Table1[[Project reference]:[Project reference]], $A6,Table1[[Standard Indicator ID Short]:[Standard Indicator ID Short]], AP$4) &gt; 0, 1, 0)</f>
        <v>0</v>
      </c>
      <c r="AQ6" s="232">
        <f>IF(SUMIFS(Table1[[Result for year]:[Result for year]],Table1[[Project reference]:[Project reference]], $A6,Table1[[Standard Indicator ID Short]:[Standard Indicator ID Short]], AQ$4) &gt; 0, 1, 0)</f>
        <v>0</v>
      </c>
      <c r="AR6" s="137">
        <f>IF(SUMIFS(Table1[[Result for year]:[Result for year]],Table1[[Project reference]:[Project reference]], $A6,Table1[[Standard Indicator ID Short]:[Standard Indicator ID Short]], AR$4) &gt; 0, 1, 0)</f>
        <v>0</v>
      </c>
      <c r="AS6" s="232">
        <f>IF(SUMIFS(Table1[[Result for year]:[Result for year]],Table1[[Project reference]:[Project reference]], $A6,Table1[[Standard Indicator ID Short]:[Standard Indicator ID Short]], AS$4) &gt; 0, 1, 0)</f>
        <v>0</v>
      </c>
      <c r="AT6" s="232">
        <f>IF(SUMIFS(Table1[[Result for year]:[Result for year]],Table1[[Project reference]:[Project reference]], $A6,Table1[[Standard Indicator ID Short]:[Standard Indicator ID Short]], AT$4) &gt; 0, 1, 0)</f>
        <v>0</v>
      </c>
      <c r="AU6" s="232">
        <f>IF(SUMIFS(Table1[[Result for year]:[Result for year]],Table1[[Project reference]:[Project reference]], $A6,Table1[[Standard Indicator ID Short]:[Standard Indicator ID Short]], AU$4) &gt; 0, 1, 0)</f>
        <v>0</v>
      </c>
      <c r="AV6" s="232">
        <f>IF(SUMIFS(Table1[[Result for year]:[Result for year]],Table1[[Project reference]:[Project reference]], $A6,Table1[[Standard Indicator ID Short]:[Standard Indicator ID Short]], AV$4) &gt; 0, 1, 0)</f>
        <v>0</v>
      </c>
      <c r="AW6" s="232">
        <f>IF(SUMIFS(Table1[[Result for year]:[Result for year]],Table1[[Project reference]:[Project reference]], $A6,Table1[[Standard Indicator ID Short]:[Standard Indicator ID Short]], AW$4) &gt; 0, 1, 0)</f>
        <v>0</v>
      </c>
      <c r="AX6" s="232">
        <f>IF(SUMIFS(Table1[[Result for year]:[Result for year]],Table1[[Project reference]:[Project reference]], $A6,Table1[[Standard Indicator ID Short]:[Standard Indicator ID Short]], AX$4) &gt; 0, 1, 0)</f>
        <v>0</v>
      </c>
      <c r="AY6" s="232">
        <f>IF(SUMIFS(Table1[[Result for year]:[Result for year]],Table1[[Project reference]:[Project reference]], $A6,Table1[[Standard Indicator ID Short]:[Standard Indicator ID Short]], AY$4) &gt; 0, 1, 0)</f>
        <v>0</v>
      </c>
      <c r="AZ6" s="232">
        <f>IF(SUMIFS(Table1[[Result for year]:[Result for year]],Table1[[Project reference]:[Project reference]], $A6,Table1[[Standard Indicator ID Short]:[Standard Indicator ID Short]], AZ$4) &gt; 0, 1, 0)</f>
        <v>0</v>
      </c>
      <c r="BA6" s="232">
        <f>IF(SUMIFS(Table1[[Result for year]:[Result for year]],Table1[[Project reference]:[Project reference]], $A6,Table1[[Standard Indicator ID Short]:[Standard Indicator ID Short]], BA$4) &gt; 0, 1, 0)</f>
        <v>0</v>
      </c>
      <c r="BB6" s="232">
        <f>IF(SUMIFS(Table1[[Result for year]:[Result for year]],Table1[[Project reference]:[Project reference]], $A6,Table1[[Standard Indicator ID Short]:[Standard Indicator ID Short]], BB$4) &gt; 0, 1, 0)</f>
        <v>0</v>
      </c>
      <c r="BC6" s="232">
        <f>IF(SUMIFS(Table1[[Result for year]:[Result for year]],Table1[[Project reference]:[Project reference]], $A6,Table1[[Standard Indicator ID Short]:[Standard Indicator ID Short]], BC$4) &gt; 0, 1, 0)</f>
        <v>0</v>
      </c>
      <c r="BD6" s="232">
        <f>IF(SUMIFS(Table1[[Result for year]:[Result for year]],Table1[[Project reference]:[Project reference]], $A6,Table1[[Standard Indicator ID Short]:[Standard Indicator ID Short]], BD$4) &gt; 0, 1, 0)</f>
        <v>0</v>
      </c>
      <c r="BE6" s="232">
        <f>IF(SUMIFS(Table1[[Result for year]:[Result for year]],Table1[[Project reference]:[Project reference]], $A6,Table1[[Standard Indicator ID Short]:[Standard Indicator ID Short]], BE$4) &gt; 0, 1, 0)</f>
        <v>0</v>
      </c>
      <c r="BF6" s="232">
        <f>IF(SUMIFS(Table1[[Result for year]:[Result for year]],Table1[[Project reference]:[Project reference]], $A6,Table1[[Standard Indicator ID Short]:[Standard Indicator ID Short]], BF$4) &gt; 0, 1, 0)</f>
        <v>0</v>
      </c>
      <c r="BG6" s="138">
        <f>IF(SUMIFS(Table1[[Result for year]:[Result for year]],Table1[[Project reference]:[Project reference]], $A6,Table1[[Standard Indicator ID Short]:[Standard Indicator ID Short]], BG$4) &gt; 0, 1, 0)</f>
        <v>0</v>
      </c>
      <c r="BH6" s="137">
        <f>IF(SUMIFS(Table1[[Result for year]:[Result for year]],Table1[[Project reference]:[Project reference]], $A6,Table1[[Standard Indicator ID Short]:[Standard Indicator ID Short]], BH$4) &gt; 0, 1, 0)</f>
        <v>0</v>
      </c>
      <c r="BI6" s="232">
        <f>IF(SUMIFS(Table1[[Result for year]:[Result for year]],Table1[[Project reference]:[Project reference]], $A6,Table1[[Standard Indicator ID Short]:[Standard Indicator ID Short]], BI$4) &gt; 0, 1, 0)</f>
        <v>0</v>
      </c>
      <c r="BJ6" s="138">
        <f>IF(SUMIFS(Table1[[Result for year]:[Result for year]],Table1[[Project reference]:[Project reference]], $A6,Table1[[Standard Indicator ID Short]:[Standard Indicator ID Short]], BJ$4) &gt; 0, 1, 0)</f>
        <v>0</v>
      </c>
      <c r="BK6" s="144"/>
      <c r="BL6" s="79"/>
      <c r="BM6" s="148">
        <f t="shared" ref="BM6:BM33" si="0">COUNTIF($C6:$BJ6, 1)</f>
        <v>1</v>
      </c>
      <c r="BN6" s="79"/>
      <c r="BO6" s="78"/>
    </row>
    <row r="7" spans="1:67" ht="14.25" customHeight="1" x14ac:dyDescent="0.25">
      <c r="A7" s="170" t="s">
        <v>307</v>
      </c>
      <c r="B7" s="173" t="s">
        <v>405</v>
      </c>
      <c r="C7" s="137">
        <f>IF(SUMIFS(Table1[[Result for year]:[Result for year]],Table1[[Project reference]:[Project reference]], $A7,Table1[[Standard Indicator ID Short]:[Standard Indicator ID Short]], C$4) &gt; 0, 1, 0)</f>
        <v>1</v>
      </c>
      <c r="D7" s="232">
        <f>IF(SUMIFS(Table1[[Result for year]:[Result for year]],Table1[[Project reference]:[Project reference]], $A7,Table1[[Standard Indicator ID Short]:[Standard Indicator ID Short]], D$4) &gt; 0, 1, 0)</f>
        <v>0</v>
      </c>
      <c r="E7" s="232">
        <f>IF(SUMIFS(Table1[[Result for year]:[Result for year]],Table1[[Project reference]:[Project reference]], $A7,Table1[[Standard Indicator ID Short]:[Standard Indicator ID Short]], E$4) &gt; 0, 1, 0)</f>
        <v>1</v>
      </c>
      <c r="F7" s="232">
        <f>IF(SUMIFS(Table1[[Result for year]:[Result for year]],Table1[[Project reference]:[Project reference]], $A7,Table1[[Standard Indicator ID Short]:[Standard Indicator ID Short]], F$4) &gt; 0, 1, 0)</f>
        <v>0</v>
      </c>
      <c r="G7" s="232">
        <f>IF(SUMIFS(Table1[[Result for year]:[Result for year]],Table1[[Project reference]:[Project reference]], $A7,Table1[[Standard Indicator ID Short]:[Standard Indicator ID Short]], G$4) &gt; 0, 1, 0)</f>
        <v>0</v>
      </c>
      <c r="H7" s="232">
        <f>IF(SUMIFS(Table1[[Result for year]:[Result for year]],Table1[[Project reference]:[Project reference]], $A7,Table1[[Standard Indicator ID Short]:[Standard Indicator ID Short]], H$4) &gt; 0, 1, 0)</f>
        <v>0</v>
      </c>
      <c r="I7" s="232">
        <f>IF(SUMIFS(Table1[[Result for year]:[Result for year]],Table1[[Project reference]:[Project reference]], $A7,Table1[[Standard Indicator ID Short]:[Standard Indicator ID Short]], I$4) &gt; 0, 1, 0)</f>
        <v>0</v>
      </c>
      <c r="J7" s="232">
        <f>IF(SUMIFS(Table1[[Result for year]:[Result for year]],Table1[[Project reference]:[Project reference]], $A7,Table1[[Standard Indicator ID Short]:[Standard Indicator ID Short]], J$4) &gt; 0, 1, 0)</f>
        <v>0</v>
      </c>
      <c r="K7" s="232">
        <f>IF(SUMIFS(Table1[[Result for year]:[Result for year]],Table1[[Project reference]:[Project reference]], $A7,Table1[[Standard Indicator ID Short]:[Standard Indicator ID Short]], K$4) &gt; 0, 1, 0)</f>
        <v>0</v>
      </c>
      <c r="L7" s="232">
        <f>IF(SUMIFS(Table1[[Result for year]:[Result for year]],Table1[[Project reference]:[Project reference]], $A7,Table1[[Standard Indicator ID Short]:[Standard Indicator ID Short]], L$4) &gt; 0, 1, 0)</f>
        <v>0</v>
      </c>
      <c r="M7" s="137">
        <f>IF(SUMIFS(Table1[[Result for year]:[Result for year]],Table1[[Project reference]:[Project reference]], $A7,Table1[[Standard Indicator ID Short]:[Standard Indicator ID Short]], M$4) &gt; 0, 1, 0)</f>
        <v>0</v>
      </c>
      <c r="N7" s="232">
        <f>IF(SUMIFS(Table1[[Result for year]:[Result for year]],Table1[[Project reference]:[Project reference]], $A7,Table1[[Standard Indicator ID Short]:[Standard Indicator ID Short]], N$4) &gt; 0, 1, 0)</f>
        <v>0</v>
      </c>
      <c r="O7" s="232">
        <f>IF(SUMIFS(Table1[[Result for year]:[Result for year]],Table1[[Project reference]:[Project reference]], $A7,Table1[[Standard Indicator ID Short]:[Standard Indicator ID Short]], O$4) &gt; 0, 1, 0)</f>
        <v>0</v>
      </c>
      <c r="P7" s="232">
        <f>IF(SUMIFS(Table1[[Result for year]:[Result for year]],Table1[[Project reference]:[Project reference]], $A7,Table1[[Standard Indicator ID Short]:[Standard Indicator ID Short]], P$4) &gt; 0, 1, 0)</f>
        <v>0</v>
      </c>
      <c r="Q7" s="232">
        <f>IF(SUMIFS(Table1[[Result for year]:[Result for year]],Table1[[Project reference]:[Project reference]], $A7,Table1[[Standard Indicator ID Short]:[Standard Indicator ID Short]], Q$4) &gt; 0, 1, 0)</f>
        <v>0</v>
      </c>
      <c r="R7" s="232">
        <f>IF(SUMIFS(Table1[[Result for year]:[Result for year]],Table1[[Project reference]:[Project reference]], $A7,Table1[[Standard Indicator ID Short]:[Standard Indicator ID Short]], R$4) &gt; 0, 1, 0)</f>
        <v>0</v>
      </c>
      <c r="S7" s="232">
        <f>IF(SUMIFS(Table1[[Result for year]:[Result for year]],Table1[[Project reference]:[Project reference]], $A7,Table1[[Standard Indicator ID Short]:[Standard Indicator ID Short]], S$4) &gt; 0, 1, 0)</f>
        <v>0</v>
      </c>
      <c r="T7" s="232">
        <f>IF(SUMIFS(Table1[[Result for year]:[Result for year]],Table1[[Project reference]:[Project reference]], $A7,Table1[[Standard Indicator ID Short]:[Standard Indicator ID Short]], T$4) &gt; 0, 1, 0)</f>
        <v>0</v>
      </c>
      <c r="U7" s="232">
        <f>IF(SUMIFS(Table1[[Result for year]:[Result for year]],Table1[[Project reference]:[Project reference]], $A7,Table1[[Standard Indicator ID Short]:[Standard Indicator ID Short]], U$4) &gt; 0, 1, 0)</f>
        <v>0</v>
      </c>
      <c r="V7" s="232">
        <f>IF(SUMIFS(Table1[[Result for year]:[Result for year]],Table1[[Project reference]:[Project reference]], $A7,Table1[[Standard Indicator ID Short]:[Standard Indicator ID Short]], V$4) &gt; 0, 1, 0)</f>
        <v>0</v>
      </c>
      <c r="W7" s="232">
        <f>IF(SUMIFS(Table1[[Result for year]:[Result for year]],Table1[[Project reference]:[Project reference]], $A7,Table1[[Standard Indicator ID Short]:[Standard Indicator ID Short]], W$4) &gt; 0, 1, 0)</f>
        <v>1</v>
      </c>
      <c r="X7" s="232">
        <f>IF(SUMIFS(Table1[[Result for year]:[Result for year]],Table1[[Project reference]:[Project reference]], $A7,Table1[[Standard Indicator ID Short]:[Standard Indicator ID Short]], X$4) &gt; 0, 1, 0)</f>
        <v>0</v>
      </c>
      <c r="Y7" s="137">
        <f>IF(SUMIFS(Table1[[Result for year]:[Result for year]],Table1[[Project reference]:[Project reference]], $A7,Table1[[Standard Indicator ID Short]:[Standard Indicator ID Short]], Y$4) &gt; 0, 1, 0)</f>
        <v>0</v>
      </c>
      <c r="Z7" s="232">
        <f>IF(SUMIFS(Table1[[Result for year]:[Result for year]],Table1[[Project reference]:[Project reference]], $A7,Table1[[Standard Indicator ID Short]:[Standard Indicator ID Short]], Z$4) &gt; 0, 1, 0)</f>
        <v>0</v>
      </c>
      <c r="AA7" s="232">
        <f>IF(SUMIFS(Table1[[Result for year]:[Result for year]],Table1[[Project reference]:[Project reference]], $A7,Table1[[Standard Indicator ID Short]:[Standard Indicator ID Short]], AA$4) &gt; 0, 1, 0)</f>
        <v>0</v>
      </c>
      <c r="AB7" s="232">
        <f>IF(SUMIFS(Table1[[Result for year]:[Result for year]],Table1[[Project reference]:[Project reference]], $A7,Table1[[Standard Indicator ID Short]:[Standard Indicator ID Short]], AB$4) &gt; 0, 1, 0)</f>
        <v>0</v>
      </c>
      <c r="AC7" s="232">
        <f>IF(SUMIFS(Table1[[Result for year]:[Result for year]],Table1[[Project reference]:[Project reference]], $A7,Table1[[Standard Indicator ID Short]:[Standard Indicator ID Short]], AC$4) &gt; 0, 1, 0)</f>
        <v>0</v>
      </c>
      <c r="AD7" s="232">
        <f>IF(SUMIFS(Table1[[Result for year]:[Result for year]],Table1[[Project reference]:[Project reference]], $A7,Table1[[Standard Indicator ID Short]:[Standard Indicator ID Short]], AD$4) &gt; 0, 1, 0)</f>
        <v>0</v>
      </c>
      <c r="AE7" s="232">
        <f>IF(SUMIFS(Table1[[Result for year]:[Result for year]],Table1[[Project reference]:[Project reference]], $A7,Table1[[Standard Indicator ID Short]:[Standard Indicator ID Short]], AE$4) &gt; 0, 1, 0)</f>
        <v>0</v>
      </c>
      <c r="AF7" s="232">
        <f>IF(SUMIFS(Table1[[Result for year]:[Result for year]],Table1[[Project reference]:[Project reference]], $A7,Table1[[Standard Indicator ID Short]:[Standard Indicator ID Short]], AF$4) &gt; 0, 1, 0)</f>
        <v>1</v>
      </c>
      <c r="AG7" s="232">
        <f>IF(SUMIFS(Table1[[Result for year]:[Result for year]],Table1[[Project reference]:[Project reference]], $A7,Table1[[Standard Indicator ID Short]:[Standard Indicator ID Short]], AG$4) &gt; 0, 1, 0)</f>
        <v>0</v>
      </c>
      <c r="AH7" s="232">
        <f>IF(SUMIFS(Table1[[Result for year]:[Result for year]],Table1[[Project reference]:[Project reference]], $A7,Table1[[Standard Indicator ID Short]:[Standard Indicator ID Short]], AH$4) &gt; 0, 1, 0)</f>
        <v>0</v>
      </c>
      <c r="AI7" s="232">
        <f>IF(SUMIFS(Table1[[Result for year]:[Result for year]],Table1[[Project reference]:[Project reference]], $A7,Table1[[Standard Indicator ID Short]:[Standard Indicator ID Short]], AI$4) &gt; 0, 1, 0)</f>
        <v>0</v>
      </c>
      <c r="AJ7" s="232">
        <f>IF(SUMIFS(Table1[[Result for year]:[Result for year]],Table1[[Project reference]:[Project reference]], $A7,Table1[[Standard Indicator ID Short]:[Standard Indicator ID Short]], AJ$4) &gt; 0, 1, 0)</f>
        <v>1</v>
      </c>
      <c r="AK7" s="232">
        <f>IF(SUMIFS(Table1[[Result for year]:[Result for year]],Table1[[Project reference]:[Project reference]], $A7,Table1[[Standard Indicator ID Short]:[Standard Indicator ID Short]], AK$4) &gt; 0, 1, 0)</f>
        <v>0</v>
      </c>
      <c r="AL7" s="232">
        <f>IF(SUMIFS(Table1[[Result for year]:[Result for year]],Table1[[Project reference]:[Project reference]], $A7,Table1[[Standard Indicator ID Short]:[Standard Indicator ID Short]], AL$4) &gt; 0, 1, 0)</f>
        <v>0</v>
      </c>
      <c r="AM7" s="232">
        <f>IF(SUMIFS(Table1[[Result for year]:[Result for year]],Table1[[Project reference]:[Project reference]], $A7,Table1[[Standard Indicator ID Short]:[Standard Indicator ID Short]], AM$4) &gt; 0, 1, 0)</f>
        <v>1</v>
      </c>
      <c r="AN7" s="232">
        <f>IF(SUMIFS(Table1[[Result for year]:[Result for year]],Table1[[Project reference]:[Project reference]], $A7,Table1[[Standard Indicator ID Short]:[Standard Indicator ID Short]], AN$4) &gt; 0, 1, 0)</f>
        <v>0</v>
      </c>
      <c r="AO7" s="232">
        <f>IF(SUMIFS(Table1[[Result for year]:[Result for year]],Table1[[Project reference]:[Project reference]], $A7,Table1[[Standard Indicator ID Short]:[Standard Indicator ID Short]], AO$4) &gt; 0, 1, 0)</f>
        <v>0</v>
      </c>
      <c r="AP7" s="232">
        <f>IF(SUMIFS(Table1[[Result for year]:[Result for year]],Table1[[Project reference]:[Project reference]], $A7,Table1[[Standard Indicator ID Short]:[Standard Indicator ID Short]], AP$4) &gt; 0, 1, 0)</f>
        <v>1</v>
      </c>
      <c r="AQ7" s="232">
        <f>IF(SUMIFS(Table1[[Result for year]:[Result for year]],Table1[[Project reference]:[Project reference]], $A7,Table1[[Standard Indicator ID Short]:[Standard Indicator ID Short]], AQ$4) &gt; 0, 1, 0)</f>
        <v>1</v>
      </c>
      <c r="AR7" s="137">
        <f>IF(SUMIFS(Table1[[Result for year]:[Result for year]],Table1[[Project reference]:[Project reference]], $A7,Table1[[Standard Indicator ID Short]:[Standard Indicator ID Short]], AR$4) &gt; 0, 1, 0)</f>
        <v>0</v>
      </c>
      <c r="AS7" s="232">
        <f>IF(SUMIFS(Table1[[Result for year]:[Result for year]],Table1[[Project reference]:[Project reference]], $A7,Table1[[Standard Indicator ID Short]:[Standard Indicator ID Short]], AS$4) &gt; 0, 1, 0)</f>
        <v>0</v>
      </c>
      <c r="AT7" s="232">
        <f>IF(SUMIFS(Table1[[Result for year]:[Result for year]],Table1[[Project reference]:[Project reference]], $A7,Table1[[Standard Indicator ID Short]:[Standard Indicator ID Short]], AT$4) &gt; 0, 1, 0)</f>
        <v>0</v>
      </c>
      <c r="AU7" s="232">
        <f>IF(SUMIFS(Table1[[Result for year]:[Result for year]],Table1[[Project reference]:[Project reference]], $A7,Table1[[Standard Indicator ID Short]:[Standard Indicator ID Short]], AU$4) &gt; 0, 1, 0)</f>
        <v>0</v>
      </c>
      <c r="AV7" s="232">
        <f>IF(SUMIFS(Table1[[Result for year]:[Result for year]],Table1[[Project reference]:[Project reference]], $A7,Table1[[Standard Indicator ID Short]:[Standard Indicator ID Short]], AV$4) &gt; 0, 1, 0)</f>
        <v>0</v>
      </c>
      <c r="AW7" s="232">
        <f>IF(SUMIFS(Table1[[Result for year]:[Result for year]],Table1[[Project reference]:[Project reference]], $A7,Table1[[Standard Indicator ID Short]:[Standard Indicator ID Short]], AW$4) &gt; 0, 1, 0)</f>
        <v>0</v>
      </c>
      <c r="AX7" s="232">
        <f>IF(SUMIFS(Table1[[Result for year]:[Result for year]],Table1[[Project reference]:[Project reference]], $A7,Table1[[Standard Indicator ID Short]:[Standard Indicator ID Short]], AX$4) &gt; 0, 1, 0)</f>
        <v>0</v>
      </c>
      <c r="AY7" s="232">
        <f>IF(SUMIFS(Table1[[Result for year]:[Result for year]],Table1[[Project reference]:[Project reference]], $A7,Table1[[Standard Indicator ID Short]:[Standard Indicator ID Short]], AY$4) &gt; 0, 1, 0)</f>
        <v>0</v>
      </c>
      <c r="AZ7" s="232">
        <f>IF(SUMIFS(Table1[[Result for year]:[Result for year]],Table1[[Project reference]:[Project reference]], $A7,Table1[[Standard Indicator ID Short]:[Standard Indicator ID Short]], AZ$4) &gt; 0, 1, 0)</f>
        <v>0</v>
      </c>
      <c r="BA7" s="232">
        <f>IF(SUMIFS(Table1[[Result for year]:[Result for year]],Table1[[Project reference]:[Project reference]], $A7,Table1[[Standard Indicator ID Short]:[Standard Indicator ID Short]], BA$4) &gt; 0, 1, 0)</f>
        <v>0</v>
      </c>
      <c r="BB7" s="232">
        <f>IF(SUMIFS(Table1[[Result for year]:[Result for year]],Table1[[Project reference]:[Project reference]], $A7,Table1[[Standard Indicator ID Short]:[Standard Indicator ID Short]], BB$4) &gt; 0, 1, 0)</f>
        <v>0</v>
      </c>
      <c r="BC7" s="232">
        <f>IF(SUMIFS(Table1[[Result for year]:[Result for year]],Table1[[Project reference]:[Project reference]], $A7,Table1[[Standard Indicator ID Short]:[Standard Indicator ID Short]], BC$4) &gt; 0, 1, 0)</f>
        <v>0</v>
      </c>
      <c r="BD7" s="232">
        <f>IF(SUMIFS(Table1[[Result for year]:[Result for year]],Table1[[Project reference]:[Project reference]], $A7,Table1[[Standard Indicator ID Short]:[Standard Indicator ID Short]], BD$4) &gt; 0, 1, 0)</f>
        <v>0</v>
      </c>
      <c r="BE7" s="232">
        <f>IF(SUMIFS(Table1[[Result for year]:[Result for year]],Table1[[Project reference]:[Project reference]], $A7,Table1[[Standard Indicator ID Short]:[Standard Indicator ID Short]], BE$4) &gt; 0, 1, 0)</f>
        <v>0</v>
      </c>
      <c r="BF7" s="232">
        <f>IF(SUMIFS(Table1[[Result for year]:[Result for year]],Table1[[Project reference]:[Project reference]], $A7,Table1[[Standard Indicator ID Short]:[Standard Indicator ID Short]], BF$4) &gt; 0, 1, 0)</f>
        <v>0</v>
      </c>
      <c r="BG7" s="138">
        <f>IF(SUMIFS(Table1[[Result for year]:[Result for year]],Table1[[Project reference]:[Project reference]], $A7,Table1[[Standard Indicator ID Short]:[Standard Indicator ID Short]], BG$4) &gt; 0, 1, 0)</f>
        <v>0</v>
      </c>
      <c r="BH7" s="137">
        <f>IF(SUMIFS(Table1[[Result for year]:[Result for year]],Table1[[Project reference]:[Project reference]], $A7,Table1[[Standard Indicator ID Short]:[Standard Indicator ID Short]], BH$4) &gt; 0, 1, 0)</f>
        <v>0</v>
      </c>
      <c r="BI7" s="232">
        <f>IF(SUMIFS(Table1[[Result for year]:[Result for year]],Table1[[Project reference]:[Project reference]], $A7,Table1[[Standard Indicator ID Short]:[Standard Indicator ID Short]], BI$4) &gt; 0, 1, 0)</f>
        <v>0</v>
      </c>
      <c r="BJ7" s="138">
        <f>IF(SUMIFS(Table1[[Result for year]:[Result for year]],Table1[[Project reference]:[Project reference]], $A7,Table1[[Standard Indicator ID Short]:[Standard Indicator ID Short]], BJ$4) &gt; 0, 1, 0)</f>
        <v>0</v>
      </c>
      <c r="BK7" s="144"/>
      <c r="BL7" s="79"/>
      <c r="BM7" s="148">
        <f t="shared" si="0"/>
        <v>8</v>
      </c>
      <c r="BN7" s="79"/>
      <c r="BO7" s="78"/>
    </row>
    <row r="8" spans="1:67" ht="14.25" customHeight="1" x14ac:dyDescent="0.25">
      <c r="A8" s="170" t="s">
        <v>308</v>
      </c>
      <c r="B8" s="173" t="s">
        <v>406</v>
      </c>
      <c r="C8" s="137">
        <f>IF(SUMIFS(Table1[[Result for year]:[Result for year]],Table1[[Project reference]:[Project reference]], $A8,Table1[[Standard Indicator ID Short]:[Standard Indicator ID Short]], C$4) &gt; 0, 1, 0)</f>
        <v>1</v>
      </c>
      <c r="D8" s="232">
        <f>IF(SUMIFS(Table1[[Result for year]:[Result for year]],Table1[[Project reference]:[Project reference]], $A8,Table1[[Standard Indicator ID Short]:[Standard Indicator ID Short]], D$4) &gt; 0, 1, 0)</f>
        <v>0</v>
      </c>
      <c r="E8" s="232">
        <f>IF(SUMIFS(Table1[[Result for year]:[Result for year]],Table1[[Project reference]:[Project reference]], $A8,Table1[[Standard Indicator ID Short]:[Standard Indicator ID Short]], E$4) &gt; 0, 1, 0)</f>
        <v>0</v>
      </c>
      <c r="F8" s="232">
        <f>IF(SUMIFS(Table1[[Result for year]:[Result for year]],Table1[[Project reference]:[Project reference]], $A8,Table1[[Standard Indicator ID Short]:[Standard Indicator ID Short]], F$4) &gt; 0, 1, 0)</f>
        <v>0</v>
      </c>
      <c r="G8" s="232">
        <f>IF(SUMIFS(Table1[[Result for year]:[Result for year]],Table1[[Project reference]:[Project reference]], $A8,Table1[[Standard Indicator ID Short]:[Standard Indicator ID Short]], G$4) &gt; 0, 1, 0)</f>
        <v>0</v>
      </c>
      <c r="H8" s="232">
        <f>IF(SUMIFS(Table1[[Result for year]:[Result for year]],Table1[[Project reference]:[Project reference]], $A8,Table1[[Standard Indicator ID Short]:[Standard Indicator ID Short]], H$4) &gt; 0, 1, 0)</f>
        <v>0</v>
      </c>
      <c r="I8" s="232">
        <f>IF(SUMIFS(Table1[[Result for year]:[Result for year]],Table1[[Project reference]:[Project reference]], $A8,Table1[[Standard Indicator ID Short]:[Standard Indicator ID Short]], I$4) &gt; 0, 1, 0)</f>
        <v>0</v>
      </c>
      <c r="J8" s="232">
        <f>IF(SUMIFS(Table1[[Result for year]:[Result for year]],Table1[[Project reference]:[Project reference]], $A8,Table1[[Standard Indicator ID Short]:[Standard Indicator ID Short]], J$4) &gt; 0, 1, 0)</f>
        <v>0</v>
      </c>
      <c r="K8" s="232">
        <f>IF(SUMIFS(Table1[[Result for year]:[Result for year]],Table1[[Project reference]:[Project reference]], $A8,Table1[[Standard Indicator ID Short]:[Standard Indicator ID Short]], K$4) &gt; 0, 1, 0)</f>
        <v>0</v>
      </c>
      <c r="L8" s="232">
        <f>IF(SUMIFS(Table1[[Result for year]:[Result for year]],Table1[[Project reference]:[Project reference]], $A8,Table1[[Standard Indicator ID Short]:[Standard Indicator ID Short]], L$4) &gt; 0, 1, 0)</f>
        <v>0</v>
      </c>
      <c r="M8" s="137">
        <f>IF(SUMIFS(Table1[[Result for year]:[Result for year]],Table1[[Project reference]:[Project reference]], $A8,Table1[[Standard Indicator ID Short]:[Standard Indicator ID Short]], M$4) &gt; 0, 1, 0)</f>
        <v>1</v>
      </c>
      <c r="N8" s="232">
        <f>IF(SUMIFS(Table1[[Result for year]:[Result for year]],Table1[[Project reference]:[Project reference]], $A8,Table1[[Standard Indicator ID Short]:[Standard Indicator ID Short]], N$4) &gt; 0, 1, 0)</f>
        <v>0</v>
      </c>
      <c r="O8" s="232">
        <f>IF(SUMIFS(Table1[[Result for year]:[Result for year]],Table1[[Project reference]:[Project reference]], $A8,Table1[[Standard Indicator ID Short]:[Standard Indicator ID Short]], O$4) &gt; 0, 1, 0)</f>
        <v>0</v>
      </c>
      <c r="P8" s="232">
        <f>IF(SUMIFS(Table1[[Result for year]:[Result for year]],Table1[[Project reference]:[Project reference]], $A8,Table1[[Standard Indicator ID Short]:[Standard Indicator ID Short]], P$4) &gt; 0, 1, 0)</f>
        <v>0</v>
      </c>
      <c r="Q8" s="232">
        <f>IF(SUMIFS(Table1[[Result for year]:[Result for year]],Table1[[Project reference]:[Project reference]], $A8,Table1[[Standard Indicator ID Short]:[Standard Indicator ID Short]], Q$4) &gt; 0, 1, 0)</f>
        <v>0</v>
      </c>
      <c r="R8" s="232">
        <f>IF(SUMIFS(Table1[[Result for year]:[Result for year]],Table1[[Project reference]:[Project reference]], $A8,Table1[[Standard Indicator ID Short]:[Standard Indicator ID Short]], R$4) &gt; 0, 1, 0)</f>
        <v>0</v>
      </c>
      <c r="S8" s="232">
        <f>IF(SUMIFS(Table1[[Result for year]:[Result for year]],Table1[[Project reference]:[Project reference]], $A8,Table1[[Standard Indicator ID Short]:[Standard Indicator ID Short]], S$4) &gt; 0, 1, 0)</f>
        <v>0</v>
      </c>
      <c r="T8" s="232">
        <f>IF(SUMIFS(Table1[[Result for year]:[Result for year]],Table1[[Project reference]:[Project reference]], $A8,Table1[[Standard Indicator ID Short]:[Standard Indicator ID Short]], T$4) &gt; 0, 1, 0)</f>
        <v>0</v>
      </c>
      <c r="U8" s="232">
        <f>IF(SUMIFS(Table1[[Result for year]:[Result for year]],Table1[[Project reference]:[Project reference]], $A8,Table1[[Standard Indicator ID Short]:[Standard Indicator ID Short]], U$4) &gt; 0, 1, 0)</f>
        <v>0</v>
      </c>
      <c r="V8" s="232">
        <f>IF(SUMIFS(Table1[[Result for year]:[Result for year]],Table1[[Project reference]:[Project reference]], $A8,Table1[[Standard Indicator ID Short]:[Standard Indicator ID Short]], V$4) &gt; 0, 1, 0)</f>
        <v>0</v>
      </c>
      <c r="W8" s="232">
        <f>IF(SUMIFS(Table1[[Result for year]:[Result for year]],Table1[[Project reference]:[Project reference]], $A8,Table1[[Standard Indicator ID Short]:[Standard Indicator ID Short]], W$4) &gt; 0, 1, 0)</f>
        <v>0</v>
      </c>
      <c r="X8" s="232">
        <f>IF(SUMIFS(Table1[[Result for year]:[Result for year]],Table1[[Project reference]:[Project reference]], $A8,Table1[[Standard Indicator ID Short]:[Standard Indicator ID Short]], X$4) &gt; 0, 1, 0)</f>
        <v>0</v>
      </c>
      <c r="Y8" s="137">
        <f>IF(SUMIFS(Table1[[Result for year]:[Result for year]],Table1[[Project reference]:[Project reference]], $A8,Table1[[Standard Indicator ID Short]:[Standard Indicator ID Short]], Y$4) &gt; 0, 1, 0)</f>
        <v>0</v>
      </c>
      <c r="Z8" s="232">
        <f>IF(SUMIFS(Table1[[Result for year]:[Result for year]],Table1[[Project reference]:[Project reference]], $A8,Table1[[Standard Indicator ID Short]:[Standard Indicator ID Short]], Z$4) &gt; 0, 1, 0)</f>
        <v>0</v>
      </c>
      <c r="AA8" s="232">
        <f>IF(SUMIFS(Table1[[Result for year]:[Result for year]],Table1[[Project reference]:[Project reference]], $A8,Table1[[Standard Indicator ID Short]:[Standard Indicator ID Short]], AA$4) &gt; 0, 1, 0)</f>
        <v>0</v>
      </c>
      <c r="AB8" s="232">
        <f>IF(SUMIFS(Table1[[Result for year]:[Result for year]],Table1[[Project reference]:[Project reference]], $A8,Table1[[Standard Indicator ID Short]:[Standard Indicator ID Short]], AB$4) &gt; 0, 1, 0)</f>
        <v>0</v>
      </c>
      <c r="AC8" s="232">
        <f>IF(SUMIFS(Table1[[Result for year]:[Result for year]],Table1[[Project reference]:[Project reference]], $A8,Table1[[Standard Indicator ID Short]:[Standard Indicator ID Short]], AC$4) &gt; 0, 1, 0)</f>
        <v>0</v>
      </c>
      <c r="AD8" s="232">
        <f>IF(SUMIFS(Table1[[Result for year]:[Result for year]],Table1[[Project reference]:[Project reference]], $A8,Table1[[Standard Indicator ID Short]:[Standard Indicator ID Short]], AD$4) &gt; 0, 1, 0)</f>
        <v>0</v>
      </c>
      <c r="AE8" s="232">
        <f>IF(SUMIFS(Table1[[Result for year]:[Result for year]],Table1[[Project reference]:[Project reference]], $A8,Table1[[Standard Indicator ID Short]:[Standard Indicator ID Short]], AE$4) &gt; 0, 1, 0)</f>
        <v>0</v>
      </c>
      <c r="AF8" s="232">
        <f>IF(SUMIFS(Table1[[Result for year]:[Result for year]],Table1[[Project reference]:[Project reference]], $A8,Table1[[Standard Indicator ID Short]:[Standard Indicator ID Short]], AF$4) &gt; 0, 1, 0)</f>
        <v>0</v>
      </c>
      <c r="AG8" s="232">
        <f>IF(SUMIFS(Table1[[Result for year]:[Result for year]],Table1[[Project reference]:[Project reference]], $A8,Table1[[Standard Indicator ID Short]:[Standard Indicator ID Short]], AG$4) &gt; 0, 1, 0)</f>
        <v>0</v>
      </c>
      <c r="AH8" s="232">
        <f>IF(SUMIFS(Table1[[Result for year]:[Result for year]],Table1[[Project reference]:[Project reference]], $A8,Table1[[Standard Indicator ID Short]:[Standard Indicator ID Short]], AH$4) &gt; 0, 1, 0)</f>
        <v>0</v>
      </c>
      <c r="AI8" s="232">
        <f>IF(SUMIFS(Table1[[Result for year]:[Result for year]],Table1[[Project reference]:[Project reference]], $A8,Table1[[Standard Indicator ID Short]:[Standard Indicator ID Short]], AI$4) &gt; 0, 1, 0)</f>
        <v>0</v>
      </c>
      <c r="AJ8" s="232">
        <f>IF(SUMIFS(Table1[[Result for year]:[Result for year]],Table1[[Project reference]:[Project reference]], $A8,Table1[[Standard Indicator ID Short]:[Standard Indicator ID Short]], AJ$4) &gt; 0, 1, 0)</f>
        <v>0</v>
      </c>
      <c r="AK8" s="232">
        <f>IF(SUMIFS(Table1[[Result for year]:[Result for year]],Table1[[Project reference]:[Project reference]], $A8,Table1[[Standard Indicator ID Short]:[Standard Indicator ID Short]], AK$4) &gt; 0, 1, 0)</f>
        <v>0</v>
      </c>
      <c r="AL8" s="232">
        <f>IF(SUMIFS(Table1[[Result for year]:[Result for year]],Table1[[Project reference]:[Project reference]], $A8,Table1[[Standard Indicator ID Short]:[Standard Indicator ID Short]], AL$4) &gt; 0, 1, 0)</f>
        <v>0</v>
      </c>
      <c r="AM8" s="232">
        <f>IF(SUMIFS(Table1[[Result for year]:[Result for year]],Table1[[Project reference]:[Project reference]], $A8,Table1[[Standard Indicator ID Short]:[Standard Indicator ID Short]], AM$4) &gt; 0, 1, 0)</f>
        <v>0</v>
      </c>
      <c r="AN8" s="232">
        <f>IF(SUMIFS(Table1[[Result for year]:[Result for year]],Table1[[Project reference]:[Project reference]], $A8,Table1[[Standard Indicator ID Short]:[Standard Indicator ID Short]], AN$4) &gt; 0, 1, 0)</f>
        <v>0</v>
      </c>
      <c r="AO8" s="232">
        <f>IF(SUMIFS(Table1[[Result for year]:[Result for year]],Table1[[Project reference]:[Project reference]], $A8,Table1[[Standard Indicator ID Short]:[Standard Indicator ID Short]], AO$4) &gt; 0, 1, 0)</f>
        <v>0</v>
      </c>
      <c r="AP8" s="232">
        <f>IF(SUMIFS(Table1[[Result for year]:[Result for year]],Table1[[Project reference]:[Project reference]], $A8,Table1[[Standard Indicator ID Short]:[Standard Indicator ID Short]], AP$4) &gt; 0, 1, 0)</f>
        <v>0</v>
      </c>
      <c r="AQ8" s="232">
        <f>IF(SUMIFS(Table1[[Result for year]:[Result for year]],Table1[[Project reference]:[Project reference]], $A8,Table1[[Standard Indicator ID Short]:[Standard Indicator ID Short]], AQ$4) &gt; 0, 1, 0)</f>
        <v>0</v>
      </c>
      <c r="AR8" s="137">
        <f>IF(SUMIFS(Table1[[Result for year]:[Result for year]],Table1[[Project reference]:[Project reference]], $A8,Table1[[Standard Indicator ID Short]:[Standard Indicator ID Short]], AR$4) &gt; 0, 1, 0)</f>
        <v>0</v>
      </c>
      <c r="AS8" s="232">
        <f>IF(SUMIFS(Table1[[Result for year]:[Result for year]],Table1[[Project reference]:[Project reference]], $A8,Table1[[Standard Indicator ID Short]:[Standard Indicator ID Short]], AS$4) &gt; 0, 1, 0)</f>
        <v>0</v>
      </c>
      <c r="AT8" s="232">
        <f>IF(SUMIFS(Table1[[Result for year]:[Result for year]],Table1[[Project reference]:[Project reference]], $A8,Table1[[Standard Indicator ID Short]:[Standard Indicator ID Short]], AT$4) &gt; 0, 1, 0)</f>
        <v>0</v>
      </c>
      <c r="AU8" s="232">
        <f>IF(SUMIFS(Table1[[Result for year]:[Result for year]],Table1[[Project reference]:[Project reference]], $A8,Table1[[Standard Indicator ID Short]:[Standard Indicator ID Short]], AU$4) &gt; 0, 1, 0)</f>
        <v>0</v>
      </c>
      <c r="AV8" s="232">
        <f>IF(SUMIFS(Table1[[Result for year]:[Result for year]],Table1[[Project reference]:[Project reference]], $A8,Table1[[Standard Indicator ID Short]:[Standard Indicator ID Short]], AV$4) &gt; 0, 1, 0)</f>
        <v>0</v>
      </c>
      <c r="AW8" s="232">
        <f>IF(SUMIFS(Table1[[Result for year]:[Result for year]],Table1[[Project reference]:[Project reference]], $A8,Table1[[Standard Indicator ID Short]:[Standard Indicator ID Short]], AW$4) &gt; 0, 1, 0)</f>
        <v>0</v>
      </c>
      <c r="AX8" s="232">
        <f>IF(SUMIFS(Table1[[Result for year]:[Result for year]],Table1[[Project reference]:[Project reference]], $A8,Table1[[Standard Indicator ID Short]:[Standard Indicator ID Short]], AX$4) &gt; 0, 1, 0)</f>
        <v>0</v>
      </c>
      <c r="AY8" s="232">
        <f>IF(SUMIFS(Table1[[Result for year]:[Result for year]],Table1[[Project reference]:[Project reference]], $A8,Table1[[Standard Indicator ID Short]:[Standard Indicator ID Short]], AY$4) &gt; 0, 1, 0)</f>
        <v>0</v>
      </c>
      <c r="AZ8" s="232">
        <f>IF(SUMIFS(Table1[[Result for year]:[Result for year]],Table1[[Project reference]:[Project reference]], $A8,Table1[[Standard Indicator ID Short]:[Standard Indicator ID Short]], AZ$4) &gt; 0, 1, 0)</f>
        <v>0</v>
      </c>
      <c r="BA8" s="232">
        <f>IF(SUMIFS(Table1[[Result for year]:[Result for year]],Table1[[Project reference]:[Project reference]], $A8,Table1[[Standard Indicator ID Short]:[Standard Indicator ID Short]], BA$4) &gt; 0, 1, 0)</f>
        <v>0</v>
      </c>
      <c r="BB8" s="232">
        <f>IF(SUMIFS(Table1[[Result for year]:[Result for year]],Table1[[Project reference]:[Project reference]], $A8,Table1[[Standard Indicator ID Short]:[Standard Indicator ID Short]], BB$4) &gt; 0, 1, 0)</f>
        <v>0</v>
      </c>
      <c r="BC8" s="232">
        <f>IF(SUMIFS(Table1[[Result for year]:[Result for year]],Table1[[Project reference]:[Project reference]], $A8,Table1[[Standard Indicator ID Short]:[Standard Indicator ID Short]], BC$4) &gt; 0, 1, 0)</f>
        <v>0</v>
      </c>
      <c r="BD8" s="232">
        <f>IF(SUMIFS(Table1[[Result for year]:[Result for year]],Table1[[Project reference]:[Project reference]], $A8,Table1[[Standard Indicator ID Short]:[Standard Indicator ID Short]], BD$4) &gt; 0, 1, 0)</f>
        <v>0</v>
      </c>
      <c r="BE8" s="232">
        <f>IF(SUMIFS(Table1[[Result for year]:[Result for year]],Table1[[Project reference]:[Project reference]], $A8,Table1[[Standard Indicator ID Short]:[Standard Indicator ID Short]], BE$4) &gt; 0, 1, 0)</f>
        <v>0</v>
      </c>
      <c r="BF8" s="232">
        <f>IF(SUMIFS(Table1[[Result for year]:[Result for year]],Table1[[Project reference]:[Project reference]], $A8,Table1[[Standard Indicator ID Short]:[Standard Indicator ID Short]], BF$4) &gt; 0, 1, 0)</f>
        <v>0</v>
      </c>
      <c r="BG8" s="138">
        <f>IF(SUMIFS(Table1[[Result for year]:[Result for year]],Table1[[Project reference]:[Project reference]], $A8,Table1[[Standard Indicator ID Short]:[Standard Indicator ID Short]], BG$4) &gt; 0, 1, 0)</f>
        <v>0</v>
      </c>
      <c r="BH8" s="137">
        <f>IF(SUMIFS(Table1[[Result for year]:[Result for year]],Table1[[Project reference]:[Project reference]], $A8,Table1[[Standard Indicator ID Short]:[Standard Indicator ID Short]], BH$4) &gt; 0, 1, 0)</f>
        <v>0</v>
      </c>
      <c r="BI8" s="232">
        <f>IF(SUMIFS(Table1[[Result for year]:[Result for year]],Table1[[Project reference]:[Project reference]], $A8,Table1[[Standard Indicator ID Short]:[Standard Indicator ID Short]], BI$4) &gt; 0, 1, 0)</f>
        <v>0</v>
      </c>
      <c r="BJ8" s="138">
        <f>IF(SUMIFS(Table1[[Result for year]:[Result for year]],Table1[[Project reference]:[Project reference]], $A8,Table1[[Standard Indicator ID Short]:[Standard Indicator ID Short]], BJ$4) &gt; 0, 1, 0)</f>
        <v>0</v>
      </c>
      <c r="BK8" s="144"/>
      <c r="BL8" s="79"/>
      <c r="BM8" s="148">
        <f t="shared" si="0"/>
        <v>2</v>
      </c>
      <c r="BN8" s="79"/>
      <c r="BO8" s="78"/>
    </row>
    <row r="9" spans="1:67" ht="14.25" customHeight="1" x14ac:dyDescent="0.25">
      <c r="A9" s="170" t="s">
        <v>309</v>
      </c>
      <c r="B9" s="173" t="s">
        <v>407</v>
      </c>
      <c r="C9" s="137">
        <f>IF(SUMIFS(Table1[[Result for year]:[Result for year]],Table1[[Project reference]:[Project reference]], $A9,Table1[[Standard Indicator ID Short]:[Standard Indicator ID Short]], C$4) &gt; 0, 1, 0)</f>
        <v>0</v>
      </c>
      <c r="D9" s="232">
        <f>IF(SUMIFS(Table1[[Result for year]:[Result for year]],Table1[[Project reference]:[Project reference]], $A9,Table1[[Standard Indicator ID Short]:[Standard Indicator ID Short]], D$4) &gt; 0, 1, 0)</f>
        <v>0</v>
      </c>
      <c r="E9" s="232">
        <f>IF(SUMIFS(Table1[[Result for year]:[Result for year]],Table1[[Project reference]:[Project reference]], $A9,Table1[[Standard Indicator ID Short]:[Standard Indicator ID Short]], E$4) &gt; 0, 1, 0)</f>
        <v>0</v>
      </c>
      <c r="F9" s="232">
        <f>IF(SUMIFS(Table1[[Result for year]:[Result for year]],Table1[[Project reference]:[Project reference]], $A9,Table1[[Standard Indicator ID Short]:[Standard Indicator ID Short]], F$4) &gt; 0, 1, 0)</f>
        <v>0</v>
      </c>
      <c r="G9" s="232">
        <f>IF(SUMIFS(Table1[[Result for year]:[Result for year]],Table1[[Project reference]:[Project reference]], $A9,Table1[[Standard Indicator ID Short]:[Standard Indicator ID Short]], G$4) &gt; 0, 1, 0)</f>
        <v>0</v>
      </c>
      <c r="H9" s="232">
        <f>IF(SUMIFS(Table1[[Result for year]:[Result for year]],Table1[[Project reference]:[Project reference]], $A9,Table1[[Standard Indicator ID Short]:[Standard Indicator ID Short]], H$4) &gt; 0, 1, 0)</f>
        <v>0</v>
      </c>
      <c r="I9" s="232">
        <f>IF(SUMIFS(Table1[[Result for year]:[Result for year]],Table1[[Project reference]:[Project reference]], $A9,Table1[[Standard Indicator ID Short]:[Standard Indicator ID Short]], I$4) &gt; 0, 1, 0)</f>
        <v>0</v>
      </c>
      <c r="J9" s="232">
        <f>IF(SUMIFS(Table1[[Result for year]:[Result for year]],Table1[[Project reference]:[Project reference]], $A9,Table1[[Standard Indicator ID Short]:[Standard Indicator ID Short]], J$4) &gt; 0, 1, 0)</f>
        <v>0</v>
      </c>
      <c r="K9" s="232">
        <f>IF(SUMIFS(Table1[[Result for year]:[Result for year]],Table1[[Project reference]:[Project reference]], $A9,Table1[[Standard Indicator ID Short]:[Standard Indicator ID Short]], K$4) &gt; 0, 1, 0)</f>
        <v>0</v>
      </c>
      <c r="L9" s="232">
        <f>IF(SUMIFS(Table1[[Result for year]:[Result for year]],Table1[[Project reference]:[Project reference]], $A9,Table1[[Standard Indicator ID Short]:[Standard Indicator ID Short]], L$4) &gt; 0, 1, 0)</f>
        <v>0</v>
      </c>
      <c r="M9" s="137">
        <f>IF(SUMIFS(Table1[[Result for year]:[Result for year]],Table1[[Project reference]:[Project reference]], $A9,Table1[[Standard Indicator ID Short]:[Standard Indicator ID Short]], M$4) &gt; 0, 1, 0)</f>
        <v>0</v>
      </c>
      <c r="N9" s="232">
        <f>IF(SUMIFS(Table1[[Result for year]:[Result for year]],Table1[[Project reference]:[Project reference]], $A9,Table1[[Standard Indicator ID Short]:[Standard Indicator ID Short]], N$4) &gt; 0, 1, 0)</f>
        <v>0</v>
      </c>
      <c r="O9" s="232">
        <f>IF(SUMIFS(Table1[[Result for year]:[Result for year]],Table1[[Project reference]:[Project reference]], $A9,Table1[[Standard Indicator ID Short]:[Standard Indicator ID Short]], O$4) &gt; 0, 1, 0)</f>
        <v>0</v>
      </c>
      <c r="P9" s="232">
        <f>IF(SUMIFS(Table1[[Result for year]:[Result for year]],Table1[[Project reference]:[Project reference]], $A9,Table1[[Standard Indicator ID Short]:[Standard Indicator ID Short]], P$4) &gt; 0, 1, 0)</f>
        <v>0</v>
      </c>
      <c r="Q9" s="232">
        <f>IF(SUMIFS(Table1[[Result for year]:[Result for year]],Table1[[Project reference]:[Project reference]], $A9,Table1[[Standard Indicator ID Short]:[Standard Indicator ID Short]], Q$4) &gt; 0, 1, 0)</f>
        <v>0</v>
      </c>
      <c r="R9" s="232">
        <f>IF(SUMIFS(Table1[[Result for year]:[Result for year]],Table1[[Project reference]:[Project reference]], $A9,Table1[[Standard Indicator ID Short]:[Standard Indicator ID Short]], R$4) &gt; 0, 1, 0)</f>
        <v>0</v>
      </c>
      <c r="S9" s="232">
        <f>IF(SUMIFS(Table1[[Result for year]:[Result for year]],Table1[[Project reference]:[Project reference]], $A9,Table1[[Standard Indicator ID Short]:[Standard Indicator ID Short]], S$4) &gt; 0, 1, 0)</f>
        <v>0</v>
      </c>
      <c r="T9" s="232">
        <f>IF(SUMIFS(Table1[[Result for year]:[Result for year]],Table1[[Project reference]:[Project reference]], $A9,Table1[[Standard Indicator ID Short]:[Standard Indicator ID Short]], T$4) &gt; 0, 1, 0)</f>
        <v>0</v>
      </c>
      <c r="U9" s="232">
        <f>IF(SUMIFS(Table1[[Result for year]:[Result for year]],Table1[[Project reference]:[Project reference]], $A9,Table1[[Standard Indicator ID Short]:[Standard Indicator ID Short]], U$4) &gt; 0, 1, 0)</f>
        <v>0</v>
      </c>
      <c r="V9" s="232">
        <f>IF(SUMIFS(Table1[[Result for year]:[Result for year]],Table1[[Project reference]:[Project reference]], $A9,Table1[[Standard Indicator ID Short]:[Standard Indicator ID Short]], V$4) &gt; 0, 1, 0)</f>
        <v>0</v>
      </c>
      <c r="W9" s="232">
        <f>IF(SUMIFS(Table1[[Result for year]:[Result for year]],Table1[[Project reference]:[Project reference]], $A9,Table1[[Standard Indicator ID Short]:[Standard Indicator ID Short]], W$4) &gt; 0, 1, 0)</f>
        <v>0</v>
      </c>
      <c r="X9" s="232">
        <f>IF(SUMIFS(Table1[[Result for year]:[Result for year]],Table1[[Project reference]:[Project reference]], $A9,Table1[[Standard Indicator ID Short]:[Standard Indicator ID Short]], X$4) &gt; 0, 1, 0)</f>
        <v>0</v>
      </c>
      <c r="Y9" s="137">
        <f>IF(SUMIFS(Table1[[Result for year]:[Result for year]],Table1[[Project reference]:[Project reference]], $A9,Table1[[Standard Indicator ID Short]:[Standard Indicator ID Short]], Y$4) &gt; 0, 1, 0)</f>
        <v>0</v>
      </c>
      <c r="Z9" s="232">
        <f>IF(SUMIFS(Table1[[Result for year]:[Result for year]],Table1[[Project reference]:[Project reference]], $A9,Table1[[Standard Indicator ID Short]:[Standard Indicator ID Short]], Z$4) &gt; 0, 1, 0)</f>
        <v>0</v>
      </c>
      <c r="AA9" s="232">
        <f>IF(SUMIFS(Table1[[Result for year]:[Result for year]],Table1[[Project reference]:[Project reference]], $A9,Table1[[Standard Indicator ID Short]:[Standard Indicator ID Short]], AA$4) &gt; 0, 1, 0)</f>
        <v>0</v>
      </c>
      <c r="AB9" s="232">
        <f>IF(SUMIFS(Table1[[Result for year]:[Result for year]],Table1[[Project reference]:[Project reference]], $A9,Table1[[Standard Indicator ID Short]:[Standard Indicator ID Short]], AB$4) &gt; 0, 1, 0)</f>
        <v>0</v>
      </c>
      <c r="AC9" s="232">
        <f>IF(SUMIFS(Table1[[Result for year]:[Result for year]],Table1[[Project reference]:[Project reference]], $A9,Table1[[Standard Indicator ID Short]:[Standard Indicator ID Short]], AC$4) &gt; 0, 1, 0)</f>
        <v>0</v>
      </c>
      <c r="AD9" s="232">
        <f>IF(SUMIFS(Table1[[Result for year]:[Result for year]],Table1[[Project reference]:[Project reference]], $A9,Table1[[Standard Indicator ID Short]:[Standard Indicator ID Short]], AD$4) &gt; 0, 1, 0)</f>
        <v>0</v>
      </c>
      <c r="AE9" s="232">
        <f>IF(SUMIFS(Table1[[Result for year]:[Result for year]],Table1[[Project reference]:[Project reference]], $A9,Table1[[Standard Indicator ID Short]:[Standard Indicator ID Short]], AE$4) &gt; 0, 1, 0)</f>
        <v>0</v>
      </c>
      <c r="AF9" s="232">
        <f>IF(SUMIFS(Table1[[Result for year]:[Result for year]],Table1[[Project reference]:[Project reference]], $A9,Table1[[Standard Indicator ID Short]:[Standard Indicator ID Short]], AF$4) &gt; 0, 1, 0)</f>
        <v>0</v>
      </c>
      <c r="AG9" s="232">
        <f>IF(SUMIFS(Table1[[Result for year]:[Result for year]],Table1[[Project reference]:[Project reference]], $A9,Table1[[Standard Indicator ID Short]:[Standard Indicator ID Short]], AG$4) &gt; 0, 1, 0)</f>
        <v>0</v>
      </c>
      <c r="AH9" s="232">
        <f>IF(SUMIFS(Table1[[Result for year]:[Result for year]],Table1[[Project reference]:[Project reference]], $A9,Table1[[Standard Indicator ID Short]:[Standard Indicator ID Short]], AH$4) &gt; 0, 1, 0)</f>
        <v>0</v>
      </c>
      <c r="AI9" s="232">
        <f>IF(SUMIFS(Table1[[Result for year]:[Result for year]],Table1[[Project reference]:[Project reference]], $A9,Table1[[Standard Indicator ID Short]:[Standard Indicator ID Short]], AI$4) &gt; 0, 1, 0)</f>
        <v>0</v>
      </c>
      <c r="AJ9" s="232">
        <f>IF(SUMIFS(Table1[[Result for year]:[Result for year]],Table1[[Project reference]:[Project reference]], $A9,Table1[[Standard Indicator ID Short]:[Standard Indicator ID Short]], AJ$4) &gt; 0, 1, 0)</f>
        <v>0</v>
      </c>
      <c r="AK9" s="232">
        <f>IF(SUMIFS(Table1[[Result for year]:[Result for year]],Table1[[Project reference]:[Project reference]], $A9,Table1[[Standard Indicator ID Short]:[Standard Indicator ID Short]], AK$4) &gt; 0, 1, 0)</f>
        <v>0</v>
      </c>
      <c r="AL9" s="232">
        <f>IF(SUMIFS(Table1[[Result for year]:[Result for year]],Table1[[Project reference]:[Project reference]], $A9,Table1[[Standard Indicator ID Short]:[Standard Indicator ID Short]], AL$4) &gt; 0, 1, 0)</f>
        <v>0</v>
      </c>
      <c r="AM9" s="232">
        <f>IF(SUMIFS(Table1[[Result for year]:[Result for year]],Table1[[Project reference]:[Project reference]], $A9,Table1[[Standard Indicator ID Short]:[Standard Indicator ID Short]], AM$4) &gt; 0, 1, 0)</f>
        <v>0</v>
      </c>
      <c r="AN9" s="232">
        <f>IF(SUMIFS(Table1[[Result for year]:[Result for year]],Table1[[Project reference]:[Project reference]], $A9,Table1[[Standard Indicator ID Short]:[Standard Indicator ID Short]], AN$4) &gt; 0, 1, 0)</f>
        <v>0</v>
      </c>
      <c r="AO9" s="232">
        <f>IF(SUMIFS(Table1[[Result for year]:[Result for year]],Table1[[Project reference]:[Project reference]], $A9,Table1[[Standard Indicator ID Short]:[Standard Indicator ID Short]], AO$4) &gt; 0, 1, 0)</f>
        <v>0</v>
      </c>
      <c r="AP9" s="232">
        <f>IF(SUMIFS(Table1[[Result for year]:[Result for year]],Table1[[Project reference]:[Project reference]], $A9,Table1[[Standard Indicator ID Short]:[Standard Indicator ID Short]], AP$4) &gt; 0, 1, 0)</f>
        <v>0</v>
      </c>
      <c r="AQ9" s="232">
        <f>IF(SUMIFS(Table1[[Result for year]:[Result for year]],Table1[[Project reference]:[Project reference]], $A9,Table1[[Standard Indicator ID Short]:[Standard Indicator ID Short]], AQ$4) &gt; 0, 1, 0)</f>
        <v>0</v>
      </c>
      <c r="AR9" s="137">
        <f>IF(SUMIFS(Table1[[Result for year]:[Result for year]],Table1[[Project reference]:[Project reference]], $A9,Table1[[Standard Indicator ID Short]:[Standard Indicator ID Short]], AR$4) &gt; 0, 1, 0)</f>
        <v>0</v>
      </c>
      <c r="AS9" s="232">
        <f>IF(SUMIFS(Table1[[Result for year]:[Result for year]],Table1[[Project reference]:[Project reference]], $A9,Table1[[Standard Indicator ID Short]:[Standard Indicator ID Short]], AS$4) &gt; 0, 1, 0)</f>
        <v>0</v>
      </c>
      <c r="AT9" s="232">
        <f>IF(SUMIFS(Table1[[Result for year]:[Result for year]],Table1[[Project reference]:[Project reference]], $A9,Table1[[Standard Indicator ID Short]:[Standard Indicator ID Short]], AT$4) &gt; 0, 1, 0)</f>
        <v>0</v>
      </c>
      <c r="AU9" s="232">
        <f>IF(SUMIFS(Table1[[Result for year]:[Result for year]],Table1[[Project reference]:[Project reference]], $A9,Table1[[Standard Indicator ID Short]:[Standard Indicator ID Short]], AU$4) &gt; 0, 1, 0)</f>
        <v>0</v>
      </c>
      <c r="AV9" s="232">
        <f>IF(SUMIFS(Table1[[Result for year]:[Result for year]],Table1[[Project reference]:[Project reference]], $A9,Table1[[Standard Indicator ID Short]:[Standard Indicator ID Short]], AV$4) &gt; 0, 1, 0)</f>
        <v>0</v>
      </c>
      <c r="AW9" s="232">
        <f>IF(SUMIFS(Table1[[Result for year]:[Result for year]],Table1[[Project reference]:[Project reference]], $A9,Table1[[Standard Indicator ID Short]:[Standard Indicator ID Short]], AW$4) &gt; 0, 1, 0)</f>
        <v>0</v>
      </c>
      <c r="AX9" s="232">
        <f>IF(SUMIFS(Table1[[Result for year]:[Result for year]],Table1[[Project reference]:[Project reference]], $A9,Table1[[Standard Indicator ID Short]:[Standard Indicator ID Short]], AX$4) &gt; 0, 1, 0)</f>
        <v>0</v>
      </c>
      <c r="AY9" s="232">
        <f>IF(SUMIFS(Table1[[Result for year]:[Result for year]],Table1[[Project reference]:[Project reference]], $A9,Table1[[Standard Indicator ID Short]:[Standard Indicator ID Short]], AY$4) &gt; 0, 1, 0)</f>
        <v>0</v>
      </c>
      <c r="AZ9" s="232">
        <f>IF(SUMIFS(Table1[[Result for year]:[Result for year]],Table1[[Project reference]:[Project reference]], $A9,Table1[[Standard Indicator ID Short]:[Standard Indicator ID Short]], AZ$4) &gt; 0, 1, 0)</f>
        <v>0</v>
      </c>
      <c r="BA9" s="232">
        <f>IF(SUMIFS(Table1[[Result for year]:[Result for year]],Table1[[Project reference]:[Project reference]], $A9,Table1[[Standard Indicator ID Short]:[Standard Indicator ID Short]], BA$4) &gt; 0, 1, 0)</f>
        <v>0</v>
      </c>
      <c r="BB9" s="232">
        <f>IF(SUMIFS(Table1[[Result for year]:[Result for year]],Table1[[Project reference]:[Project reference]], $A9,Table1[[Standard Indicator ID Short]:[Standard Indicator ID Short]], BB$4) &gt; 0, 1, 0)</f>
        <v>0</v>
      </c>
      <c r="BC9" s="232">
        <f>IF(SUMIFS(Table1[[Result for year]:[Result for year]],Table1[[Project reference]:[Project reference]], $A9,Table1[[Standard Indicator ID Short]:[Standard Indicator ID Short]], BC$4) &gt; 0, 1, 0)</f>
        <v>0</v>
      </c>
      <c r="BD9" s="232">
        <f>IF(SUMIFS(Table1[[Result for year]:[Result for year]],Table1[[Project reference]:[Project reference]], $A9,Table1[[Standard Indicator ID Short]:[Standard Indicator ID Short]], BD$4) &gt; 0, 1, 0)</f>
        <v>0</v>
      </c>
      <c r="BE9" s="232">
        <f>IF(SUMIFS(Table1[[Result for year]:[Result for year]],Table1[[Project reference]:[Project reference]], $A9,Table1[[Standard Indicator ID Short]:[Standard Indicator ID Short]], BE$4) &gt; 0, 1, 0)</f>
        <v>0</v>
      </c>
      <c r="BF9" s="232">
        <f>IF(SUMIFS(Table1[[Result for year]:[Result for year]],Table1[[Project reference]:[Project reference]], $A9,Table1[[Standard Indicator ID Short]:[Standard Indicator ID Short]], BF$4) &gt; 0, 1, 0)</f>
        <v>0</v>
      </c>
      <c r="BG9" s="138">
        <f>IF(SUMIFS(Table1[[Result for year]:[Result for year]],Table1[[Project reference]:[Project reference]], $A9,Table1[[Standard Indicator ID Short]:[Standard Indicator ID Short]], BG$4) &gt; 0, 1, 0)</f>
        <v>0</v>
      </c>
      <c r="BH9" s="137">
        <f>IF(SUMIFS(Table1[[Result for year]:[Result for year]],Table1[[Project reference]:[Project reference]], $A9,Table1[[Standard Indicator ID Short]:[Standard Indicator ID Short]], BH$4) &gt; 0, 1, 0)</f>
        <v>0</v>
      </c>
      <c r="BI9" s="232">
        <f>IF(SUMIFS(Table1[[Result for year]:[Result for year]],Table1[[Project reference]:[Project reference]], $A9,Table1[[Standard Indicator ID Short]:[Standard Indicator ID Short]], BI$4) &gt; 0, 1, 0)</f>
        <v>0</v>
      </c>
      <c r="BJ9" s="138">
        <f>IF(SUMIFS(Table1[[Result for year]:[Result for year]],Table1[[Project reference]:[Project reference]], $A9,Table1[[Standard Indicator ID Short]:[Standard Indicator ID Short]], BJ$4) &gt; 0, 1, 0)</f>
        <v>0</v>
      </c>
      <c r="BK9" s="144"/>
      <c r="BL9" s="79"/>
      <c r="BM9" s="148">
        <f t="shared" si="0"/>
        <v>0</v>
      </c>
      <c r="BN9" s="79"/>
      <c r="BO9" s="78"/>
    </row>
    <row r="10" spans="1:67" ht="14.25" customHeight="1" x14ac:dyDescent="0.25">
      <c r="A10" s="170" t="s">
        <v>310</v>
      </c>
      <c r="B10" s="173" t="s">
        <v>408</v>
      </c>
      <c r="C10" s="137">
        <f>IF(SUMIFS(Table1[[Result for year]:[Result for year]],Table1[[Project reference]:[Project reference]], $A10,Table1[[Standard Indicator ID Short]:[Standard Indicator ID Short]], C$4) &gt; 0, 1, 0)</f>
        <v>1</v>
      </c>
      <c r="D10" s="232">
        <f>IF(SUMIFS(Table1[[Result for year]:[Result for year]],Table1[[Project reference]:[Project reference]], $A10,Table1[[Standard Indicator ID Short]:[Standard Indicator ID Short]], D$4) &gt; 0, 1, 0)</f>
        <v>0</v>
      </c>
      <c r="E10" s="232">
        <f>IF(SUMIFS(Table1[[Result for year]:[Result for year]],Table1[[Project reference]:[Project reference]], $A10,Table1[[Standard Indicator ID Short]:[Standard Indicator ID Short]], E$4) &gt; 0, 1, 0)</f>
        <v>0</v>
      </c>
      <c r="F10" s="232">
        <f>IF(SUMIFS(Table1[[Result for year]:[Result for year]],Table1[[Project reference]:[Project reference]], $A10,Table1[[Standard Indicator ID Short]:[Standard Indicator ID Short]], F$4) &gt; 0, 1, 0)</f>
        <v>0</v>
      </c>
      <c r="G10" s="232">
        <f>IF(SUMIFS(Table1[[Result for year]:[Result for year]],Table1[[Project reference]:[Project reference]], $A10,Table1[[Standard Indicator ID Short]:[Standard Indicator ID Short]], G$4) &gt; 0, 1, 0)</f>
        <v>0</v>
      </c>
      <c r="H10" s="232">
        <f>IF(SUMIFS(Table1[[Result for year]:[Result for year]],Table1[[Project reference]:[Project reference]], $A10,Table1[[Standard Indicator ID Short]:[Standard Indicator ID Short]], H$4) &gt; 0, 1, 0)</f>
        <v>0</v>
      </c>
      <c r="I10" s="232">
        <f>IF(SUMIFS(Table1[[Result for year]:[Result for year]],Table1[[Project reference]:[Project reference]], $A10,Table1[[Standard Indicator ID Short]:[Standard Indicator ID Short]], I$4) &gt; 0, 1, 0)</f>
        <v>0</v>
      </c>
      <c r="J10" s="232">
        <f>IF(SUMIFS(Table1[[Result for year]:[Result for year]],Table1[[Project reference]:[Project reference]], $A10,Table1[[Standard Indicator ID Short]:[Standard Indicator ID Short]], J$4) &gt; 0, 1, 0)</f>
        <v>0</v>
      </c>
      <c r="K10" s="232">
        <f>IF(SUMIFS(Table1[[Result for year]:[Result for year]],Table1[[Project reference]:[Project reference]], $A10,Table1[[Standard Indicator ID Short]:[Standard Indicator ID Short]], K$4) &gt; 0, 1, 0)</f>
        <v>0</v>
      </c>
      <c r="L10" s="232">
        <f>IF(SUMIFS(Table1[[Result for year]:[Result for year]],Table1[[Project reference]:[Project reference]], $A10,Table1[[Standard Indicator ID Short]:[Standard Indicator ID Short]], L$4) &gt; 0, 1, 0)</f>
        <v>0</v>
      </c>
      <c r="M10" s="137">
        <f>IF(SUMIFS(Table1[[Result for year]:[Result for year]],Table1[[Project reference]:[Project reference]], $A10,Table1[[Standard Indicator ID Short]:[Standard Indicator ID Short]], M$4) &gt; 0, 1, 0)</f>
        <v>0</v>
      </c>
      <c r="N10" s="232">
        <f>IF(SUMIFS(Table1[[Result for year]:[Result for year]],Table1[[Project reference]:[Project reference]], $A10,Table1[[Standard Indicator ID Short]:[Standard Indicator ID Short]], N$4) &gt; 0, 1, 0)</f>
        <v>0</v>
      </c>
      <c r="O10" s="232">
        <f>IF(SUMIFS(Table1[[Result for year]:[Result for year]],Table1[[Project reference]:[Project reference]], $A10,Table1[[Standard Indicator ID Short]:[Standard Indicator ID Short]], O$4) &gt; 0, 1, 0)</f>
        <v>0</v>
      </c>
      <c r="P10" s="232">
        <f>IF(SUMIFS(Table1[[Result for year]:[Result for year]],Table1[[Project reference]:[Project reference]], $A10,Table1[[Standard Indicator ID Short]:[Standard Indicator ID Short]], P$4) &gt; 0, 1, 0)</f>
        <v>0</v>
      </c>
      <c r="Q10" s="232">
        <f>IF(SUMIFS(Table1[[Result for year]:[Result for year]],Table1[[Project reference]:[Project reference]], $A10,Table1[[Standard Indicator ID Short]:[Standard Indicator ID Short]], Q$4) &gt; 0, 1, 0)</f>
        <v>0</v>
      </c>
      <c r="R10" s="232">
        <f>IF(SUMIFS(Table1[[Result for year]:[Result for year]],Table1[[Project reference]:[Project reference]], $A10,Table1[[Standard Indicator ID Short]:[Standard Indicator ID Short]], R$4) &gt; 0, 1, 0)</f>
        <v>0</v>
      </c>
      <c r="S10" s="232">
        <f>IF(SUMIFS(Table1[[Result for year]:[Result for year]],Table1[[Project reference]:[Project reference]], $A10,Table1[[Standard Indicator ID Short]:[Standard Indicator ID Short]], S$4) &gt; 0, 1, 0)</f>
        <v>0</v>
      </c>
      <c r="T10" s="232">
        <f>IF(SUMIFS(Table1[[Result for year]:[Result for year]],Table1[[Project reference]:[Project reference]], $A10,Table1[[Standard Indicator ID Short]:[Standard Indicator ID Short]], T$4) &gt; 0, 1, 0)</f>
        <v>0</v>
      </c>
      <c r="U10" s="232">
        <f>IF(SUMIFS(Table1[[Result for year]:[Result for year]],Table1[[Project reference]:[Project reference]], $A10,Table1[[Standard Indicator ID Short]:[Standard Indicator ID Short]], U$4) &gt; 0, 1, 0)</f>
        <v>0</v>
      </c>
      <c r="V10" s="232">
        <f>IF(SUMIFS(Table1[[Result for year]:[Result for year]],Table1[[Project reference]:[Project reference]], $A10,Table1[[Standard Indicator ID Short]:[Standard Indicator ID Short]], V$4) &gt; 0, 1, 0)</f>
        <v>0</v>
      </c>
      <c r="W10" s="232">
        <f>IF(SUMIFS(Table1[[Result for year]:[Result for year]],Table1[[Project reference]:[Project reference]], $A10,Table1[[Standard Indicator ID Short]:[Standard Indicator ID Short]], W$4) &gt; 0, 1, 0)</f>
        <v>0</v>
      </c>
      <c r="X10" s="232">
        <f>IF(SUMIFS(Table1[[Result for year]:[Result for year]],Table1[[Project reference]:[Project reference]], $A10,Table1[[Standard Indicator ID Short]:[Standard Indicator ID Short]], X$4) &gt; 0, 1, 0)</f>
        <v>0</v>
      </c>
      <c r="Y10" s="137">
        <f>IF(SUMIFS(Table1[[Result for year]:[Result for year]],Table1[[Project reference]:[Project reference]], $A10,Table1[[Standard Indicator ID Short]:[Standard Indicator ID Short]], Y$4) &gt; 0, 1, 0)</f>
        <v>0</v>
      </c>
      <c r="Z10" s="232">
        <f>IF(SUMIFS(Table1[[Result for year]:[Result for year]],Table1[[Project reference]:[Project reference]], $A10,Table1[[Standard Indicator ID Short]:[Standard Indicator ID Short]], Z$4) &gt; 0, 1, 0)</f>
        <v>0</v>
      </c>
      <c r="AA10" s="232">
        <f>IF(SUMIFS(Table1[[Result for year]:[Result for year]],Table1[[Project reference]:[Project reference]], $A10,Table1[[Standard Indicator ID Short]:[Standard Indicator ID Short]], AA$4) &gt; 0, 1, 0)</f>
        <v>0</v>
      </c>
      <c r="AB10" s="232">
        <f>IF(SUMIFS(Table1[[Result for year]:[Result for year]],Table1[[Project reference]:[Project reference]], $A10,Table1[[Standard Indicator ID Short]:[Standard Indicator ID Short]], AB$4) &gt; 0, 1, 0)</f>
        <v>0</v>
      </c>
      <c r="AC10" s="232">
        <f>IF(SUMIFS(Table1[[Result for year]:[Result for year]],Table1[[Project reference]:[Project reference]], $A10,Table1[[Standard Indicator ID Short]:[Standard Indicator ID Short]], AC$4) &gt; 0, 1, 0)</f>
        <v>0</v>
      </c>
      <c r="AD10" s="232">
        <f>IF(SUMIFS(Table1[[Result for year]:[Result for year]],Table1[[Project reference]:[Project reference]], $A10,Table1[[Standard Indicator ID Short]:[Standard Indicator ID Short]], AD$4) &gt; 0, 1, 0)</f>
        <v>0</v>
      </c>
      <c r="AE10" s="232">
        <f>IF(SUMIFS(Table1[[Result for year]:[Result for year]],Table1[[Project reference]:[Project reference]], $A10,Table1[[Standard Indicator ID Short]:[Standard Indicator ID Short]], AE$4) &gt; 0, 1, 0)</f>
        <v>0</v>
      </c>
      <c r="AF10" s="232">
        <f>IF(SUMIFS(Table1[[Result for year]:[Result for year]],Table1[[Project reference]:[Project reference]], $A10,Table1[[Standard Indicator ID Short]:[Standard Indicator ID Short]], AF$4) &gt; 0, 1, 0)</f>
        <v>0</v>
      </c>
      <c r="AG10" s="232">
        <f>IF(SUMIFS(Table1[[Result for year]:[Result for year]],Table1[[Project reference]:[Project reference]], $A10,Table1[[Standard Indicator ID Short]:[Standard Indicator ID Short]], AG$4) &gt; 0, 1, 0)</f>
        <v>0</v>
      </c>
      <c r="AH10" s="232">
        <f>IF(SUMIFS(Table1[[Result for year]:[Result for year]],Table1[[Project reference]:[Project reference]], $A10,Table1[[Standard Indicator ID Short]:[Standard Indicator ID Short]], AH$4) &gt; 0, 1, 0)</f>
        <v>0</v>
      </c>
      <c r="AI10" s="232">
        <f>IF(SUMIFS(Table1[[Result for year]:[Result for year]],Table1[[Project reference]:[Project reference]], $A10,Table1[[Standard Indicator ID Short]:[Standard Indicator ID Short]], AI$4) &gt; 0, 1, 0)</f>
        <v>0</v>
      </c>
      <c r="AJ10" s="232">
        <f>IF(SUMIFS(Table1[[Result for year]:[Result for year]],Table1[[Project reference]:[Project reference]], $A10,Table1[[Standard Indicator ID Short]:[Standard Indicator ID Short]], AJ$4) &gt; 0, 1, 0)</f>
        <v>1</v>
      </c>
      <c r="AK10" s="232">
        <f>IF(SUMIFS(Table1[[Result for year]:[Result for year]],Table1[[Project reference]:[Project reference]], $A10,Table1[[Standard Indicator ID Short]:[Standard Indicator ID Short]], AK$4) &gt; 0, 1, 0)</f>
        <v>0</v>
      </c>
      <c r="AL10" s="232">
        <f>IF(SUMIFS(Table1[[Result for year]:[Result for year]],Table1[[Project reference]:[Project reference]], $A10,Table1[[Standard Indicator ID Short]:[Standard Indicator ID Short]], AL$4) &gt; 0, 1, 0)</f>
        <v>0</v>
      </c>
      <c r="AM10" s="232">
        <f>IF(SUMIFS(Table1[[Result for year]:[Result for year]],Table1[[Project reference]:[Project reference]], $A10,Table1[[Standard Indicator ID Short]:[Standard Indicator ID Short]], AM$4) &gt; 0, 1, 0)</f>
        <v>0</v>
      </c>
      <c r="AN10" s="232">
        <f>IF(SUMIFS(Table1[[Result for year]:[Result for year]],Table1[[Project reference]:[Project reference]], $A10,Table1[[Standard Indicator ID Short]:[Standard Indicator ID Short]], AN$4) &gt; 0, 1, 0)</f>
        <v>0</v>
      </c>
      <c r="AO10" s="232">
        <f>IF(SUMIFS(Table1[[Result for year]:[Result for year]],Table1[[Project reference]:[Project reference]], $A10,Table1[[Standard Indicator ID Short]:[Standard Indicator ID Short]], AO$4) &gt; 0, 1, 0)</f>
        <v>0</v>
      </c>
      <c r="AP10" s="232">
        <f>IF(SUMIFS(Table1[[Result for year]:[Result for year]],Table1[[Project reference]:[Project reference]], $A10,Table1[[Standard Indicator ID Short]:[Standard Indicator ID Short]], AP$4) &gt; 0, 1, 0)</f>
        <v>0</v>
      </c>
      <c r="AQ10" s="232">
        <f>IF(SUMIFS(Table1[[Result for year]:[Result for year]],Table1[[Project reference]:[Project reference]], $A10,Table1[[Standard Indicator ID Short]:[Standard Indicator ID Short]], AQ$4) &gt; 0, 1, 0)</f>
        <v>0</v>
      </c>
      <c r="AR10" s="137">
        <f>IF(SUMIFS(Table1[[Result for year]:[Result for year]],Table1[[Project reference]:[Project reference]], $A10,Table1[[Standard Indicator ID Short]:[Standard Indicator ID Short]], AR$4) &gt; 0, 1, 0)</f>
        <v>0</v>
      </c>
      <c r="AS10" s="232">
        <f>IF(SUMIFS(Table1[[Result for year]:[Result for year]],Table1[[Project reference]:[Project reference]], $A10,Table1[[Standard Indicator ID Short]:[Standard Indicator ID Short]], AS$4) &gt; 0, 1, 0)</f>
        <v>0</v>
      </c>
      <c r="AT10" s="232">
        <f>IF(SUMIFS(Table1[[Result for year]:[Result for year]],Table1[[Project reference]:[Project reference]], $A10,Table1[[Standard Indicator ID Short]:[Standard Indicator ID Short]], AT$4) &gt; 0, 1, 0)</f>
        <v>0</v>
      </c>
      <c r="AU10" s="232">
        <f>IF(SUMIFS(Table1[[Result for year]:[Result for year]],Table1[[Project reference]:[Project reference]], $A10,Table1[[Standard Indicator ID Short]:[Standard Indicator ID Short]], AU$4) &gt; 0, 1, 0)</f>
        <v>0</v>
      </c>
      <c r="AV10" s="232">
        <f>IF(SUMIFS(Table1[[Result for year]:[Result for year]],Table1[[Project reference]:[Project reference]], $A10,Table1[[Standard Indicator ID Short]:[Standard Indicator ID Short]], AV$4) &gt; 0, 1, 0)</f>
        <v>0</v>
      </c>
      <c r="AW10" s="232">
        <f>IF(SUMIFS(Table1[[Result for year]:[Result for year]],Table1[[Project reference]:[Project reference]], $A10,Table1[[Standard Indicator ID Short]:[Standard Indicator ID Short]], AW$4) &gt; 0, 1, 0)</f>
        <v>0</v>
      </c>
      <c r="AX10" s="232">
        <f>IF(SUMIFS(Table1[[Result for year]:[Result for year]],Table1[[Project reference]:[Project reference]], $A10,Table1[[Standard Indicator ID Short]:[Standard Indicator ID Short]], AX$4) &gt; 0, 1, 0)</f>
        <v>0</v>
      </c>
      <c r="AY10" s="232">
        <f>IF(SUMIFS(Table1[[Result for year]:[Result for year]],Table1[[Project reference]:[Project reference]], $A10,Table1[[Standard Indicator ID Short]:[Standard Indicator ID Short]], AY$4) &gt; 0, 1, 0)</f>
        <v>0</v>
      </c>
      <c r="AZ10" s="232">
        <f>IF(SUMIFS(Table1[[Result for year]:[Result for year]],Table1[[Project reference]:[Project reference]], $A10,Table1[[Standard Indicator ID Short]:[Standard Indicator ID Short]], AZ$4) &gt; 0, 1, 0)</f>
        <v>0</v>
      </c>
      <c r="BA10" s="232">
        <f>IF(SUMIFS(Table1[[Result for year]:[Result for year]],Table1[[Project reference]:[Project reference]], $A10,Table1[[Standard Indicator ID Short]:[Standard Indicator ID Short]], BA$4) &gt; 0, 1, 0)</f>
        <v>0</v>
      </c>
      <c r="BB10" s="232">
        <f>IF(SUMIFS(Table1[[Result for year]:[Result for year]],Table1[[Project reference]:[Project reference]], $A10,Table1[[Standard Indicator ID Short]:[Standard Indicator ID Short]], BB$4) &gt; 0, 1, 0)</f>
        <v>0</v>
      </c>
      <c r="BC10" s="232">
        <f>IF(SUMIFS(Table1[[Result for year]:[Result for year]],Table1[[Project reference]:[Project reference]], $A10,Table1[[Standard Indicator ID Short]:[Standard Indicator ID Short]], BC$4) &gt; 0, 1, 0)</f>
        <v>0</v>
      </c>
      <c r="BD10" s="232">
        <f>IF(SUMIFS(Table1[[Result for year]:[Result for year]],Table1[[Project reference]:[Project reference]], $A10,Table1[[Standard Indicator ID Short]:[Standard Indicator ID Short]], BD$4) &gt; 0, 1, 0)</f>
        <v>0</v>
      </c>
      <c r="BE10" s="232">
        <f>IF(SUMIFS(Table1[[Result for year]:[Result for year]],Table1[[Project reference]:[Project reference]], $A10,Table1[[Standard Indicator ID Short]:[Standard Indicator ID Short]], BE$4) &gt; 0, 1, 0)</f>
        <v>0</v>
      </c>
      <c r="BF10" s="232">
        <f>IF(SUMIFS(Table1[[Result for year]:[Result for year]],Table1[[Project reference]:[Project reference]], $A10,Table1[[Standard Indicator ID Short]:[Standard Indicator ID Short]], BF$4) &gt; 0, 1, 0)</f>
        <v>0</v>
      </c>
      <c r="BG10" s="138">
        <f>IF(SUMIFS(Table1[[Result for year]:[Result for year]],Table1[[Project reference]:[Project reference]], $A10,Table1[[Standard Indicator ID Short]:[Standard Indicator ID Short]], BG$4) &gt; 0, 1, 0)</f>
        <v>0</v>
      </c>
      <c r="BH10" s="137">
        <f>IF(SUMIFS(Table1[[Result for year]:[Result for year]],Table1[[Project reference]:[Project reference]], $A10,Table1[[Standard Indicator ID Short]:[Standard Indicator ID Short]], BH$4) &gt; 0, 1, 0)</f>
        <v>0</v>
      </c>
      <c r="BI10" s="232">
        <f>IF(SUMIFS(Table1[[Result for year]:[Result for year]],Table1[[Project reference]:[Project reference]], $A10,Table1[[Standard Indicator ID Short]:[Standard Indicator ID Short]], BI$4) &gt; 0, 1, 0)</f>
        <v>0</v>
      </c>
      <c r="BJ10" s="138">
        <f>IF(SUMIFS(Table1[[Result for year]:[Result for year]],Table1[[Project reference]:[Project reference]], $A10,Table1[[Standard Indicator ID Short]:[Standard Indicator ID Short]], BJ$4) &gt; 0, 1, 0)</f>
        <v>0</v>
      </c>
      <c r="BK10" s="144"/>
      <c r="BL10" s="79"/>
      <c r="BM10" s="148">
        <f t="shared" si="0"/>
        <v>2</v>
      </c>
      <c r="BN10" s="79"/>
      <c r="BO10" s="78"/>
    </row>
    <row r="11" spans="1:67" ht="14.25" customHeight="1" x14ac:dyDescent="0.25">
      <c r="A11" s="170" t="s">
        <v>311</v>
      </c>
      <c r="B11" s="173" t="s">
        <v>409</v>
      </c>
      <c r="C11" s="137">
        <f>IF(SUMIFS(Table1[[Result for year]:[Result for year]],Table1[[Project reference]:[Project reference]], $A11,Table1[[Standard Indicator ID Short]:[Standard Indicator ID Short]], C$4) &gt; 0, 1, 0)</f>
        <v>1</v>
      </c>
      <c r="D11" s="232">
        <f>IF(SUMIFS(Table1[[Result for year]:[Result for year]],Table1[[Project reference]:[Project reference]], $A11,Table1[[Standard Indicator ID Short]:[Standard Indicator ID Short]], D$4) &gt; 0, 1, 0)</f>
        <v>0</v>
      </c>
      <c r="E11" s="232">
        <f>IF(SUMIFS(Table1[[Result for year]:[Result for year]],Table1[[Project reference]:[Project reference]], $A11,Table1[[Standard Indicator ID Short]:[Standard Indicator ID Short]], E$4) &gt; 0, 1, 0)</f>
        <v>1</v>
      </c>
      <c r="F11" s="232">
        <f>IF(SUMIFS(Table1[[Result for year]:[Result for year]],Table1[[Project reference]:[Project reference]], $A11,Table1[[Standard Indicator ID Short]:[Standard Indicator ID Short]], F$4) &gt; 0, 1, 0)</f>
        <v>0</v>
      </c>
      <c r="G11" s="232">
        <f>IF(SUMIFS(Table1[[Result for year]:[Result for year]],Table1[[Project reference]:[Project reference]], $A11,Table1[[Standard Indicator ID Short]:[Standard Indicator ID Short]], G$4) &gt; 0, 1, 0)</f>
        <v>0</v>
      </c>
      <c r="H11" s="232">
        <f>IF(SUMIFS(Table1[[Result for year]:[Result for year]],Table1[[Project reference]:[Project reference]], $A11,Table1[[Standard Indicator ID Short]:[Standard Indicator ID Short]], H$4) &gt; 0, 1, 0)</f>
        <v>0</v>
      </c>
      <c r="I11" s="232">
        <f>IF(SUMIFS(Table1[[Result for year]:[Result for year]],Table1[[Project reference]:[Project reference]], $A11,Table1[[Standard Indicator ID Short]:[Standard Indicator ID Short]], I$4) &gt; 0, 1, 0)</f>
        <v>0</v>
      </c>
      <c r="J11" s="232">
        <f>IF(SUMIFS(Table1[[Result for year]:[Result for year]],Table1[[Project reference]:[Project reference]], $A11,Table1[[Standard Indicator ID Short]:[Standard Indicator ID Short]], J$4) &gt; 0, 1, 0)</f>
        <v>0</v>
      </c>
      <c r="K11" s="232">
        <f>IF(SUMIFS(Table1[[Result for year]:[Result for year]],Table1[[Project reference]:[Project reference]], $A11,Table1[[Standard Indicator ID Short]:[Standard Indicator ID Short]], K$4) &gt; 0, 1, 0)</f>
        <v>0</v>
      </c>
      <c r="L11" s="232">
        <f>IF(SUMIFS(Table1[[Result for year]:[Result for year]],Table1[[Project reference]:[Project reference]], $A11,Table1[[Standard Indicator ID Short]:[Standard Indicator ID Short]], L$4) &gt; 0, 1, 0)</f>
        <v>0</v>
      </c>
      <c r="M11" s="137">
        <f>IF(SUMIFS(Table1[[Result for year]:[Result for year]],Table1[[Project reference]:[Project reference]], $A11,Table1[[Standard Indicator ID Short]:[Standard Indicator ID Short]], M$4) &gt; 0, 1, 0)</f>
        <v>0</v>
      </c>
      <c r="N11" s="232">
        <f>IF(SUMIFS(Table1[[Result for year]:[Result for year]],Table1[[Project reference]:[Project reference]], $A11,Table1[[Standard Indicator ID Short]:[Standard Indicator ID Short]], N$4) &gt; 0, 1, 0)</f>
        <v>0</v>
      </c>
      <c r="O11" s="232">
        <f>IF(SUMIFS(Table1[[Result for year]:[Result for year]],Table1[[Project reference]:[Project reference]], $A11,Table1[[Standard Indicator ID Short]:[Standard Indicator ID Short]], O$4) &gt; 0, 1, 0)</f>
        <v>0</v>
      </c>
      <c r="P11" s="232">
        <f>IF(SUMIFS(Table1[[Result for year]:[Result for year]],Table1[[Project reference]:[Project reference]], $A11,Table1[[Standard Indicator ID Short]:[Standard Indicator ID Short]], P$4) &gt; 0, 1, 0)</f>
        <v>0</v>
      </c>
      <c r="Q11" s="232">
        <f>IF(SUMIFS(Table1[[Result for year]:[Result for year]],Table1[[Project reference]:[Project reference]], $A11,Table1[[Standard Indicator ID Short]:[Standard Indicator ID Short]], Q$4) &gt; 0, 1, 0)</f>
        <v>0</v>
      </c>
      <c r="R11" s="232">
        <f>IF(SUMIFS(Table1[[Result for year]:[Result for year]],Table1[[Project reference]:[Project reference]], $A11,Table1[[Standard Indicator ID Short]:[Standard Indicator ID Short]], R$4) &gt; 0, 1, 0)</f>
        <v>0</v>
      </c>
      <c r="S11" s="232">
        <f>IF(SUMIFS(Table1[[Result for year]:[Result for year]],Table1[[Project reference]:[Project reference]], $A11,Table1[[Standard Indicator ID Short]:[Standard Indicator ID Short]], S$4) &gt; 0, 1, 0)</f>
        <v>0</v>
      </c>
      <c r="T11" s="232">
        <f>IF(SUMIFS(Table1[[Result for year]:[Result for year]],Table1[[Project reference]:[Project reference]], $A11,Table1[[Standard Indicator ID Short]:[Standard Indicator ID Short]], T$4) &gt; 0, 1, 0)</f>
        <v>0</v>
      </c>
      <c r="U11" s="232">
        <f>IF(SUMIFS(Table1[[Result for year]:[Result for year]],Table1[[Project reference]:[Project reference]], $A11,Table1[[Standard Indicator ID Short]:[Standard Indicator ID Short]], U$4) &gt; 0, 1, 0)</f>
        <v>0</v>
      </c>
      <c r="V11" s="232">
        <f>IF(SUMIFS(Table1[[Result for year]:[Result for year]],Table1[[Project reference]:[Project reference]], $A11,Table1[[Standard Indicator ID Short]:[Standard Indicator ID Short]], V$4) &gt; 0, 1, 0)</f>
        <v>0</v>
      </c>
      <c r="W11" s="232">
        <f>IF(SUMIFS(Table1[[Result for year]:[Result for year]],Table1[[Project reference]:[Project reference]], $A11,Table1[[Standard Indicator ID Short]:[Standard Indicator ID Short]], W$4) &gt; 0, 1, 0)</f>
        <v>0</v>
      </c>
      <c r="X11" s="232">
        <f>IF(SUMIFS(Table1[[Result for year]:[Result for year]],Table1[[Project reference]:[Project reference]], $A11,Table1[[Standard Indicator ID Short]:[Standard Indicator ID Short]], X$4) &gt; 0, 1, 0)</f>
        <v>0</v>
      </c>
      <c r="Y11" s="137">
        <f>IF(SUMIFS(Table1[[Result for year]:[Result for year]],Table1[[Project reference]:[Project reference]], $A11,Table1[[Standard Indicator ID Short]:[Standard Indicator ID Short]], Y$4) &gt; 0, 1, 0)</f>
        <v>0</v>
      </c>
      <c r="Z11" s="232">
        <f>IF(SUMIFS(Table1[[Result for year]:[Result for year]],Table1[[Project reference]:[Project reference]], $A11,Table1[[Standard Indicator ID Short]:[Standard Indicator ID Short]], Z$4) &gt; 0, 1, 0)</f>
        <v>0</v>
      </c>
      <c r="AA11" s="232">
        <f>IF(SUMIFS(Table1[[Result for year]:[Result for year]],Table1[[Project reference]:[Project reference]], $A11,Table1[[Standard Indicator ID Short]:[Standard Indicator ID Short]], AA$4) &gt; 0, 1, 0)</f>
        <v>0</v>
      </c>
      <c r="AB11" s="232">
        <f>IF(SUMIFS(Table1[[Result for year]:[Result for year]],Table1[[Project reference]:[Project reference]], $A11,Table1[[Standard Indicator ID Short]:[Standard Indicator ID Short]], AB$4) &gt; 0, 1, 0)</f>
        <v>0</v>
      </c>
      <c r="AC11" s="232">
        <f>IF(SUMIFS(Table1[[Result for year]:[Result for year]],Table1[[Project reference]:[Project reference]], $A11,Table1[[Standard Indicator ID Short]:[Standard Indicator ID Short]], AC$4) &gt; 0, 1, 0)</f>
        <v>1</v>
      </c>
      <c r="AD11" s="232">
        <f>IF(SUMIFS(Table1[[Result for year]:[Result for year]],Table1[[Project reference]:[Project reference]], $A11,Table1[[Standard Indicator ID Short]:[Standard Indicator ID Short]], AD$4) &gt; 0, 1, 0)</f>
        <v>0</v>
      </c>
      <c r="AE11" s="232">
        <f>IF(SUMIFS(Table1[[Result for year]:[Result for year]],Table1[[Project reference]:[Project reference]], $A11,Table1[[Standard Indicator ID Short]:[Standard Indicator ID Short]], AE$4) &gt; 0, 1, 0)</f>
        <v>0</v>
      </c>
      <c r="AF11" s="232">
        <f>IF(SUMIFS(Table1[[Result for year]:[Result for year]],Table1[[Project reference]:[Project reference]], $A11,Table1[[Standard Indicator ID Short]:[Standard Indicator ID Short]], AF$4) &gt; 0, 1, 0)</f>
        <v>0</v>
      </c>
      <c r="AG11" s="232">
        <f>IF(SUMIFS(Table1[[Result for year]:[Result for year]],Table1[[Project reference]:[Project reference]], $A11,Table1[[Standard Indicator ID Short]:[Standard Indicator ID Short]], AG$4) &gt; 0, 1, 0)</f>
        <v>0</v>
      </c>
      <c r="AH11" s="232">
        <f>IF(SUMIFS(Table1[[Result for year]:[Result for year]],Table1[[Project reference]:[Project reference]], $A11,Table1[[Standard Indicator ID Short]:[Standard Indicator ID Short]], AH$4) &gt; 0, 1, 0)</f>
        <v>0</v>
      </c>
      <c r="AI11" s="232">
        <f>IF(SUMIFS(Table1[[Result for year]:[Result for year]],Table1[[Project reference]:[Project reference]], $A11,Table1[[Standard Indicator ID Short]:[Standard Indicator ID Short]], AI$4) &gt; 0, 1, 0)</f>
        <v>0</v>
      </c>
      <c r="AJ11" s="232">
        <f>IF(SUMIFS(Table1[[Result for year]:[Result for year]],Table1[[Project reference]:[Project reference]], $A11,Table1[[Standard Indicator ID Short]:[Standard Indicator ID Short]], AJ$4) &gt; 0, 1, 0)</f>
        <v>0</v>
      </c>
      <c r="AK11" s="232">
        <f>IF(SUMIFS(Table1[[Result for year]:[Result for year]],Table1[[Project reference]:[Project reference]], $A11,Table1[[Standard Indicator ID Short]:[Standard Indicator ID Short]], AK$4) &gt; 0, 1, 0)</f>
        <v>0</v>
      </c>
      <c r="AL11" s="232">
        <f>IF(SUMIFS(Table1[[Result for year]:[Result for year]],Table1[[Project reference]:[Project reference]], $A11,Table1[[Standard Indicator ID Short]:[Standard Indicator ID Short]], AL$4) &gt; 0, 1, 0)</f>
        <v>0</v>
      </c>
      <c r="AM11" s="232">
        <f>IF(SUMIFS(Table1[[Result for year]:[Result for year]],Table1[[Project reference]:[Project reference]], $A11,Table1[[Standard Indicator ID Short]:[Standard Indicator ID Short]], AM$4) &gt; 0, 1, 0)</f>
        <v>1</v>
      </c>
      <c r="AN11" s="232">
        <f>IF(SUMIFS(Table1[[Result for year]:[Result for year]],Table1[[Project reference]:[Project reference]], $A11,Table1[[Standard Indicator ID Short]:[Standard Indicator ID Short]], AN$4) &gt; 0, 1, 0)</f>
        <v>0</v>
      </c>
      <c r="AO11" s="232">
        <f>IF(SUMIFS(Table1[[Result for year]:[Result for year]],Table1[[Project reference]:[Project reference]], $A11,Table1[[Standard Indicator ID Short]:[Standard Indicator ID Short]], AO$4) &gt; 0, 1, 0)</f>
        <v>0</v>
      </c>
      <c r="AP11" s="232">
        <f>IF(SUMIFS(Table1[[Result for year]:[Result for year]],Table1[[Project reference]:[Project reference]], $A11,Table1[[Standard Indicator ID Short]:[Standard Indicator ID Short]], AP$4) &gt; 0, 1, 0)</f>
        <v>0</v>
      </c>
      <c r="AQ11" s="232">
        <f>IF(SUMIFS(Table1[[Result for year]:[Result for year]],Table1[[Project reference]:[Project reference]], $A11,Table1[[Standard Indicator ID Short]:[Standard Indicator ID Short]], AQ$4) &gt; 0, 1, 0)</f>
        <v>0</v>
      </c>
      <c r="AR11" s="137">
        <f>IF(SUMIFS(Table1[[Result for year]:[Result for year]],Table1[[Project reference]:[Project reference]], $A11,Table1[[Standard Indicator ID Short]:[Standard Indicator ID Short]], AR$4) &gt; 0, 1, 0)</f>
        <v>0</v>
      </c>
      <c r="AS11" s="232">
        <f>IF(SUMIFS(Table1[[Result for year]:[Result for year]],Table1[[Project reference]:[Project reference]], $A11,Table1[[Standard Indicator ID Short]:[Standard Indicator ID Short]], AS$4) &gt; 0, 1, 0)</f>
        <v>0</v>
      </c>
      <c r="AT11" s="232">
        <f>IF(SUMIFS(Table1[[Result for year]:[Result for year]],Table1[[Project reference]:[Project reference]], $A11,Table1[[Standard Indicator ID Short]:[Standard Indicator ID Short]], AT$4) &gt; 0, 1, 0)</f>
        <v>0</v>
      </c>
      <c r="AU11" s="232">
        <f>IF(SUMIFS(Table1[[Result for year]:[Result for year]],Table1[[Project reference]:[Project reference]], $A11,Table1[[Standard Indicator ID Short]:[Standard Indicator ID Short]], AU$4) &gt; 0, 1, 0)</f>
        <v>0</v>
      </c>
      <c r="AV11" s="232">
        <f>IF(SUMIFS(Table1[[Result for year]:[Result for year]],Table1[[Project reference]:[Project reference]], $A11,Table1[[Standard Indicator ID Short]:[Standard Indicator ID Short]], AV$4) &gt; 0, 1, 0)</f>
        <v>0</v>
      </c>
      <c r="AW11" s="232">
        <f>IF(SUMIFS(Table1[[Result for year]:[Result for year]],Table1[[Project reference]:[Project reference]], $A11,Table1[[Standard Indicator ID Short]:[Standard Indicator ID Short]], AW$4) &gt; 0, 1, 0)</f>
        <v>0</v>
      </c>
      <c r="AX11" s="232">
        <f>IF(SUMIFS(Table1[[Result for year]:[Result for year]],Table1[[Project reference]:[Project reference]], $A11,Table1[[Standard Indicator ID Short]:[Standard Indicator ID Short]], AX$4) &gt; 0, 1, 0)</f>
        <v>0</v>
      </c>
      <c r="AY11" s="232">
        <f>IF(SUMIFS(Table1[[Result for year]:[Result for year]],Table1[[Project reference]:[Project reference]], $A11,Table1[[Standard Indicator ID Short]:[Standard Indicator ID Short]], AY$4) &gt; 0, 1, 0)</f>
        <v>0</v>
      </c>
      <c r="AZ11" s="232">
        <f>IF(SUMIFS(Table1[[Result for year]:[Result for year]],Table1[[Project reference]:[Project reference]], $A11,Table1[[Standard Indicator ID Short]:[Standard Indicator ID Short]], AZ$4) &gt; 0, 1, 0)</f>
        <v>0</v>
      </c>
      <c r="BA11" s="232">
        <f>IF(SUMIFS(Table1[[Result for year]:[Result for year]],Table1[[Project reference]:[Project reference]], $A11,Table1[[Standard Indicator ID Short]:[Standard Indicator ID Short]], BA$4) &gt; 0, 1, 0)</f>
        <v>0</v>
      </c>
      <c r="BB11" s="232">
        <f>IF(SUMIFS(Table1[[Result for year]:[Result for year]],Table1[[Project reference]:[Project reference]], $A11,Table1[[Standard Indicator ID Short]:[Standard Indicator ID Short]], BB$4) &gt; 0, 1, 0)</f>
        <v>0</v>
      </c>
      <c r="BC11" s="232">
        <f>IF(SUMIFS(Table1[[Result for year]:[Result for year]],Table1[[Project reference]:[Project reference]], $A11,Table1[[Standard Indicator ID Short]:[Standard Indicator ID Short]], BC$4) &gt; 0, 1, 0)</f>
        <v>0</v>
      </c>
      <c r="BD11" s="232">
        <f>IF(SUMIFS(Table1[[Result for year]:[Result for year]],Table1[[Project reference]:[Project reference]], $A11,Table1[[Standard Indicator ID Short]:[Standard Indicator ID Short]], BD$4) &gt; 0, 1, 0)</f>
        <v>0</v>
      </c>
      <c r="BE11" s="232">
        <f>IF(SUMIFS(Table1[[Result for year]:[Result for year]],Table1[[Project reference]:[Project reference]], $A11,Table1[[Standard Indicator ID Short]:[Standard Indicator ID Short]], BE$4) &gt; 0, 1, 0)</f>
        <v>0</v>
      </c>
      <c r="BF11" s="232">
        <f>IF(SUMIFS(Table1[[Result for year]:[Result for year]],Table1[[Project reference]:[Project reference]], $A11,Table1[[Standard Indicator ID Short]:[Standard Indicator ID Short]], BF$4) &gt; 0, 1, 0)</f>
        <v>0</v>
      </c>
      <c r="BG11" s="138">
        <f>IF(SUMIFS(Table1[[Result for year]:[Result for year]],Table1[[Project reference]:[Project reference]], $A11,Table1[[Standard Indicator ID Short]:[Standard Indicator ID Short]], BG$4) &gt; 0, 1, 0)</f>
        <v>0</v>
      </c>
      <c r="BH11" s="137">
        <f>IF(SUMIFS(Table1[[Result for year]:[Result for year]],Table1[[Project reference]:[Project reference]], $A11,Table1[[Standard Indicator ID Short]:[Standard Indicator ID Short]], BH$4) &gt; 0, 1, 0)</f>
        <v>0</v>
      </c>
      <c r="BI11" s="232">
        <f>IF(SUMIFS(Table1[[Result for year]:[Result for year]],Table1[[Project reference]:[Project reference]], $A11,Table1[[Standard Indicator ID Short]:[Standard Indicator ID Short]], BI$4) &gt; 0, 1, 0)</f>
        <v>0</v>
      </c>
      <c r="BJ11" s="138">
        <f>IF(SUMIFS(Table1[[Result for year]:[Result for year]],Table1[[Project reference]:[Project reference]], $A11,Table1[[Standard Indicator ID Short]:[Standard Indicator ID Short]], BJ$4) &gt; 0, 1, 0)</f>
        <v>0</v>
      </c>
      <c r="BK11" s="144"/>
      <c r="BL11" s="79"/>
      <c r="BM11" s="148">
        <f t="shared" si="0"/>
        <v>4</v>
      </c>
      <c r="BN11" s="79"/>
      <c r="BO11" s="78"/>
    </row>
    <row r="12" spans="1:67" ht="14.25" customHeight="1" x14ac:dyDescent="0.25">
      <c r="A12" s="170" t="s">
        <v>312</v>
      </c>
      <c r="B12" s="173" t="s">
        <v>410</v>
      </c>
      <c r="C12" s="137">
        <f>IF(SUMIFS(Table1[[Result for year]:[Result for year]],Table1[[Project reference]:[Project reference]], $A12,Table1[[Standard Indicator ID Short]:[Standard Indicator ID Short]], C$4) &gt; 0, 1, 0)</f>
        <v>0</v>
      </c>
      <c r="D12" s="232">
        <f>IF(SUMIFS(Table1[[Result for year]:[Result for year]],Table1[[Project reference]:[Project reference]], $A12,Table1[[Standard Indicator ID Short]:[Standard Indicator ID Short]], D$4) &gt; 0, 1, 0)</f>
        <v>0</v>
      </c>
      <c r="E12" s="232">
        <f>IF(SUMIFS(Table1[[Result for year]:[Result for year]],Table1[[Project reference]:[Project reference]], $A12,Table1[[Standard Indicator ID Short]:[Standard Indicator ID Short]], E$4) &gt; 0, 1, 0)</f>
        <v>0</v>
      </c>
      <c r="F12" s="232">
        <f>IF(SUMIFS(Table1[[Result for year]:[Result for year]],Table1[[Project reference]:[Project reference]], $A12,Table1[[Standard Indicator ID Short]:[Standard Indicator ID Short]], F$4) &gt; 0, 1, 0)</f>
        <v>0</v>
      </c>
      <c r="G12" s="232">
        <f>IF(SUMIFS(Table1[[Result for year]:[Result for year]],Table1[[Project reference]:[Project reference]], $A12,Table1[[Standard Indicator ID Short]:[Standard Indicator ID Short]], G$4) &gt; 0, 1, 0)</f>
        <v>0</v>
      </c>
      <c r="H12" s="232">
        <f>IF(SUMIFS(Table1[[Result for year]:[Result for year]],Table1[[Project reference]:[Project reference]], $A12,Table1[[Standard Indicator ID Short]:[Standard Indicator ID Short]], H$4) &gt; 0, 1, 0)</f>
        <v>0</v>
      </c>
      <c r="I12" s="232">
        <f>IF(SUMIFS(Table1[[Result for year]:[Result for year]],Table1[[Project reference]:[Project reference]], $A12,Table1[[Standard Indicator ID Short]:[Standard Indicator ID Short]], I$4) &gt; 0, 1, 0)</f>
        <v>0</v>
      </c>
      <c r="J12" s="232">
        <f>IF(SUMIFS(Table1[[Result for year]:[Result for year]],Table1[[Project reference]:[Project reference]], $A12,Table1[[Standard Indicator ID Short]:[Standard Indicator ID Short]], J$4) &gt; 0, 1, 0)</f>
        <v>0</v>
      </c>
      <c r="K12" s="232">
        <f>IF(SUMIFS(Table1[[Result for year]:[Result for year]],Table1[[Project reference]:[Project reference]], $A12,Table1[[Standard Indicator ID Short]:[Standard Indicator ID Short]], K$4) &gt; 0, 1, 0)</f>
        <v>0</v>
      </c>
      <c r="L12" s="232">
        <f>IF(SUMIFS(Table1[[Result for year]:[Result for year]],Table1[[Project reference]:[Project reference]], $A12,Table1[[Standard Indicator ID Short]:[Standard Indicator ID Short]], L$4) &gt; 0, 1, 0)</f>
        <v>0</v>
      </c>
      <c r="M12" s="137">
        <f>IF(SUMIFS(Table1[[Result for year]:[Result for year]],Table1[[Project reference]:[Project reference]], $A12,Table1[[Standard Indicator ID Short]:[Standard Indicator ID Short]], M$4) &gt; 0, 1, 0)</f>
        <v>0</v>
      </c>
      <c r="N12" s="232">
        <f>IF(SUMIFS(Table1[[Result for year]:[Result for year]],Table1[[Project reference]:[Project reference]], $A12,Table1[[Standard Indicator ID Short]:[Standard Indicator ID Short]], N$4) &gt; 0, 1, 0)</f>
        <v>0</v>
      </c>
      <c r="O12" s="232">
        <f>IF(SUMIFS(Table1[[Result for year]:[Result for year]],Table1[[Project reference]:[Project reference]], $A12,Table1[[Standard Indicator ID Short]:[Standard Indicator ID Short]], O$4) &gt; 0, 1, 0)</f>
        <v>0</v>
      </c>
      <c r="P12" s="232">
        <f>IF(SUMIFS(Table1[[Result for year]:[Result for year]],Table1[[Project reference]:[Project reference]], $A12,Table1[[Standard Indicator ID Short]:[Standard Indicator ID Short]], P$4) &gt; 0, 1, 0)</f>
        <v>0</v>
      </c>
      <c r="Q12" s="232">
        <f>IF(SUMIFS(Table1[[Result for year]:[Result for year]],Table1[[Project reference]:[Project reference]], $A12,Table1[[Standard Indicator ID Short]:[Standard Indicator ID Short]], Q$4) &gt; 0, 1, 0)</f>
        <v>0</v>
      </c>
      <c r="R12" s="232">
        <f>IF(SUMIFS(Table1[[Result for year]:[Result for year]],Table1[[Project reference]:[Project reference]], $A12,Table1[[Standard Indicator ID Short]:[Standard Indicator ID Short]], R$4) &gt; 0, 1, 0)</f>
        <v>0</v>
      </c>
      <c r="S12" s="232">
        <f>IF(SUMIFS(Table1[[Result for year]:[Result for year]],Table1[[Project reference]:[Project reference]], $A12,Table1[[Standard Indicator ID Short]:[Standard Indicator ID Short]], S$4) &gt; 0, 1, 0)</f>
        <v>0</v>
      </c>
      <c r="T12" s="232">
        <f>IF(SUMIFS(Table1[[Result for year]:[Result for year]],Table1[[Project reference]:[Project reference]], $A12,Table1[[Standard Indicator ID Short]:[Standard Indicator ID Short]], T$4) &gt; 0, 1, 0)</f>
        <v>0</v>
      </c>
      <c r="U12" s="232">
        <f>IF(SUMIFS(Table1[[Result for year]:[Result for year]],Table1[[Project reference]:[Project reference]], $A12,Table1[[Standard Indicator ID Short]:[Standard Indicator ID Short]], U$4) &gt; 0, 1, 0)</f>
        <v>0</v>
      </c>
      <c r="V12" s="232">
        <f>IF(SUMIFS(Table1[[Result for year]:[Result for year]],Table1[[Project reference]:[Project reference]], $A12,Table1[[Standard Indicator ID Short]:[Standard Indicator ID Short]], V$4) &gt; 0, 1, 0)</f>
        <v>0</v>
      </c>
      <c r="W12" s="232">
        <f>IF(SUMIFS(Table1[[Result for year]:[Result for year]],Table1[[Project reference]:[Project reference]], $A12,Table1[[Standard Indicator ID Short]:[Standard Indicator ID Short]], W$4) &gt; 0, 1, 0)</f>
        <v>0</v>
      </c>
      <c r="X12" s="232">
        <f>IF(SUMIFS(Table1[[Result for year]:[Result for year]],Table1[[Project reference]:[Project reference]], $A12,Table1[[Standard Indicator ID Short]:[Standard Indicator ID Short]], X$4) &gt; 0, 1, 0)</f>
        <v>0</v>
      </c>
      <c r="Y12" s="137">
        <f>IF(SUMIFS(Table1[[Result for year]:[Result for year]],Table1[[Project reference]:[Project reference]], $A12,Table1[[Standard Indicator ID Short]:[Standard Indicator ID Short]], Y$4) &gt; 0, 1, 0)</f>
        <v>0</v>
      </c>
      <c r="Z12" s="232">
        <f>IF(SUMIFS(Table1[[Result for year]:[Result for year]],Table1[[Project reference]:[Project reference]], $A12,Table1[[Standard Indicator ID Short]:[Standard Indicator ID Short]], Z$4) &gt; 0, 1, 0)</f>
        <v>0</v>
      </c>
      <c r="AA12" s="232">
        <f>IF(SUMIFS(Table1[[Result for year]:[Result for year]],Table1[[Project reference]:[Project reference]], $A12,Table1[[Standard Indicator ID Short]:[Standard Indicator ID Short]], AA$4) &gt; 0, 1, 0)</f>
        <v>0</v>
      </c>
      <c r="AB12" s="232">
        <f>IF(SUMIFS(Table1[[Result for year]:[Result for year]],Table1[[Project reference]:[Project reference]], $A12,Table1[[Standard Indicator ID Short]:[Standard Indicator ID Short]], AB$4) &gt; 0, 1, 0)</f>
        <v>0</v>
      </c>
      <c r="AC12" s="232">
        <f>IF(SUMIFS(Table1[[Result for year]:[Result for year]],Table1[[Project reference]:[Project reference]], $A12,Table1[[Standard Indicator ID Short]:[Standard Indicator ID Short]], AC$4) &gt; 0, 1, 0)</f>
        <v>0</v>
      </c>
      <c r="AD12" s="232">
        <f>IF(SUMIFS(Table1[[Result for year]:[Result for year]],Table1[[Project reference]:[Project reference]], $A12,Table1[[Standard Indicator ID Short]:[Standard Indicator ID Short]], AD$4) &gt; 0, 1, 0)</f>
        <v>0</v>
      </c>
      <c r="AE12" s="232">
        <f>IF(SUMIFS(Table1[[Result for year]:[Result for year]],Table1[[Project reference]:[Project reference]], $A12,Table1[[Standard Indicator ID Short]:[Standard Indicator ID Short]], AE$4) &gt; 0, 1, 0)</f>
        <v>0</v>
      </c>
      <c r="AF12" s="232">
        <f>IF(SUMIFS(Table1[[Result for year]:[Result for year]],Table1[[Project reference]:[Project reference]], $A12,Table1[[Standard Indicator ID Short]:[Standard Indicator ID Short]], AF$4) &gt; 0, 1, 0)</f>
        <v>0</v>
      </c>
      <c r="AG12" s="232">
        <f>IF(SUMIFS(Table1[[Result for year]:[Result for year]],Table1[[Project reference]:[Project reference]], $A12,Table1[[Standard Indicator ID Short]:[Standard Indicator ID Short]], AG$4) &gt; 0, 1, 0)</f>
        <v>0</v>
      </c>
      <c r="AH12" s="232">
        <f>IF(SUMIFS(Table1[[Result for year]:[Result for year]],Table1[[Project reference]:[Project reference]], $A12,Table1[[Standard Indicator ID Short]:[Standard Indicator ID Short]], AH$4) &gt; 0, 1, 0)</f>
        <v>0</v>
      </c>
      <c r="AI12" s="232">
        <f>IF(SUMIFS(Table1[[Result for year]:[Result for year]],Table1[[Project reference]:[Project reference]], $A12,Table1[[Standard Indicator ID Short]:[Standard Indicator ID Short]], AI$4) &gt; 0, 1, 0)</f>
        <v>0</v>
      </c>
      <c r="AJ12" s="232">
        <f>IF(SUMIFS(Table1[[Result for year]:[Result for year]],Table1[[Project reference]:[Project reference]], $A12,Table1[[Standard Indicator ID Short]:[Standard Indicator ID Short]], AJ$4) &gt; 0, 1, 0)</f>
        <v>1</v>
      </c>
      <c r="AK12" s="232">
        <f>IF(SUMIFS(Table1[[Result for year]:[Result for year]],Table1[[Project reference]:[Project reference]], $A12,Table1[[Standard Indicator ID Short]:[Standard Indicator ID Short]], AK$4) &gt; 0, 1, 0)</f>
        <v>0</v>
      </c>
      <c r="AL12" s="232">
        <f>IF(SUMIFS(Table1[[Result for year]:[Result for year]],Table1[[Project reference]:[Project reference]], $A12,Table1[[Standard Indicator ID Short]:[Standard Indicator ID Short]], AL$4) &gt; 0, 1, 0)</f>
        <v>0</v>
      </c>
      <c r="AM12" s="232">
        <f>IF(SUMIFS(Table1[[Result for year]:[Result for year]],Table1[[Project reference]:[Project reference]], $A12,Table1[[Standard Indicator ID Short]:[Standard Indicator ID Short]], AM$4) &gt; 0, 1, 0)</f>
        <v>1</v>
      </c>
      <c r="AN12" s="232">
        <f>IF(SUMIFS(Table1[[Result for year]:[Result for year]],Table1[[Project reference]:[Project reference]], $A12,Table1[[Standard Indicator ID Short]:[Standard Indicator ID Short]], AN$4) &gt; 0, 1, 0)</f>
        <v>0</v>
      </c>
      <c r="AO12" s="232">
        <f>IF(SUMIFS(Table1[[Result for year]:[Result for year]],Table1[[Project reference]:[Project reference]], $A12,Table1[[Standard Indicator ID Short]:[Standard Indicator ID Short]], AO$4) &gt; 0, 1, 0)</f>
        <v>0</v>
      </c>
      <c r="AP12" s="232">
        <f>IF(SUMIFS(Table1[[Result for year]:[Result for year]],Table1[[Project reference]:[Project reference]], $A12,Table1[[Standard Indicator ID Short]:[Standard Indicator ID Short]], AP$4) &gt; 0, 1, 0)</f>
        <v>0</v>
      </c>
      <c r="AQ12" s="232">
        <f>IF(SUMIFS(Table1[[Result for year]:[Result for year]],Table1[[Project reference]:[Project reference]], $A12,Table1[[Standard Indicator ID Short]:[Standard Indicator ID Short]], AQ$4) &gt; 0, 1, 0)</f>
        <v>0</v>
      </c>
      <c r="AR12" s="137">
        <f>IF(SUMIFS(Table1[[Result for year]:[Result for year]],Table1[[Project reference]:[Project reference]], $A12,Table1[[Standard Indicator ID Short]:[Standard Indicator ID Short]], AR$4) &gt; 0, 1, 0)</f>
        <v>0</v>
      </c>
      <c r="AS12" s="232">
        <f>IF(SUMIFS(Table1[[Result for year]:[Result for year]],Table1[[Project reference]:[Project reference]], $A12,Table1[[Standard Indicator ID Short]:[Standard Indicator ID Short]], AS$4) &gt; 0, 1, 0)</f>
        <v>0</v>
      </c>
      <c r="AT12" s="232">
        <f>IF(SUMIFS(Table1[[Result for year]:[Result for year]],Table1[[Project reference]:[Project reference]], $A12,Table1[[Standard Indicator ID Short]:[Standard Indicator ID Short]], AT$4) &gt; 0, 1, 0)</f>
        <v>0</v>
      </c>
      <c r="AU12" s="232">
        <f>IF(SUMIFS(Table1[[Result for year]:[Result for year]],Table1[[Project reference]:[Project reference]], $A12,Table1[[Standard Indicator ID Short]:[Standard Indicator ID Short]], AU$4) &gt; 0, 1, 0)</f>
        <v>0</v>
      </c>
      <c r="AV12" s="232">
        <f>IF(SUMIFS(Table1[[Result for year]:[Result for year]],Table1[[Project reference]:[Project reference]], $A12,Table1[[Standard Indicator ID Short]:[Standard Indicator ID Short]], AV$4) &gt; 0, 1, 0)</f>
        <v>0</v>
      </c>
      <c r="AW12" s="232">
        <f>IF(SUMIFS(Table1[[Result for year]:[Result for year]],Table1[[Project reference]:[Project reference]], $A12,Table1[[Standard Indicator ID Short]:[Standard Indicator ID Short]], AW$4) &gt; 0, 1, 0)</f>
        <v>0</v>
      </c>
      <c r="AX12" s="232">
        <f>IF(SUMIFS(Table1[[Result for year]:[Result for year]],Table1[[Project reference]:[Project reference]], $A12,Table1[[Standard Indicator ID Short]:[Standard Indicator ID Short]], AX$4) &gt; 0, 1, 0)</f>
        <v>0</v>
      </c>
      <c r="AY12" s="232">
        <f>IF(SUMIFS(Table1[[Result for year]:[Result for year]],Table1[[Project reference]:[Project reference]], $A12,Table1[[Standard Indicator ID Short]:[Standard Indicator ID Short]], AY$4) &gt; 0, 1, 0)</f>
        <v>0</v>
      </c>
      <c r="AZ12" s="232">
        <f>IF(SUMIFS(Table1[[Result for year]:[Result for year]],Table1[[Project reference]:[Project reference]], $A12,Table1[[Standard Indicator ID Short]:[Standard Indicator ID Short]], AZ$4) &gt; 0, 1, 0)</f>
        <v>0</v>
      </c>
      <c r="BA12" s="232">
        <f>IF(SUMIFS(Table1[[Result for year]:[Result for year]],Table1[[Project reference]:[Project reference]], $A12,Table1[[Standard Indicator ID Short]:[Standard Indicator ID Short]], BA$4) &gt; 0, 1, 0)</f>
        <v>0</v>
      </c>
      <c r="BB12" s="232">
        <f>IF(SUMIFS(Table1[[Result for year]:[Result for year]],Table1[[Project reference]:[Project reference]], $A12,Table1[[Standard Indicator ID Short]:[Standard Indicator ID Short]], BB$4) &gt; 0, 1, 0)</f>
        <v>0</v>
      </c>
      <c r="BC12" s="232">
        <f>IF(SUMIFS(Table1[[Result for year]:[Result for year]],Table1[[Project reference]:[Project reference]], $A12,Table1[[Standard Indicator ID Short]:[Standard Indicator ID Short]], BC$4) &gt; 0, 1, 0)</f>
        <v>0</v>
      </c>
      <c r="BD12" s="232">
        <f>IF(SUMIFS(Table1[[Result for year]:[Result for year]],Table1[[Project reference]:[Project reference]], $A12,Table1[[Standard Indicator ID Short]:[Standard Indicator ID Short]], BD$4) &gt; 0, 1, 0)</f>
        <v>0</v>
      </c>
      <c r="BE12" s="232">
        <f>IF(SUMIFS(Table1[[Result for year]:[Result for year]],Table1[[Project reference]:[Project reference]], $A12,Table1[[Standard Indicator ID Short]:[Standard Indicator ID Short]], BE$4) &gt; 0, 1, 0)</f>
        <v>0</v>
      </c>
      <c r="BF12" s="232">
        <f>IF(SUMIFS(Table1[[Result for year]:[Result for year]],Table1[[Project reference]:[Project reference]], $A12,Table1[[Standard Indicator ID Short]:[Standard Indicator ID Short]], BF$4) &gt; 0, 1, 0)</f>
        <v>0</v>
      </c>
      <c r="BG12" s="138">
        <f>IF(SUMIFS(Table1[[Result for year]:[Result for year]],Table1[[Project reference]:[Project reference]], $A12,Table1[[Standard Indicator ID Short]:[Standard Indicator ID Short]], BG$4) &gt; 0, 1, 0)</f>
        <v>0</v>
      </c>
      <c r="BH12" s="137">
        <f>IF(SUMIFS(Table1[[Result for year]:[Result for year]],Table1[[Project reference]:[Project reference]], $A12,Table1[[Standard Indicator ID Short]:[Standard Indicator ID Short]], BH$4) &gt; 0, 1, 0)</f>
        <v>0</v>
      </c>
      <c r="BI12" s="232">
        <f>IF(SUMIFS(Table1[[Result for year]:[Result for year]],Table1[[Project reference]:[Project reference]], $A12,Table1[[Standard Indicator ID Short]:[Standard Indicator ID Short]], BI$4) &gt; 0, 1, 0)</f>
        <v>0</v>
      </c>
      <c r="BJ12" s="138">
        <f>IF(SUMIFS(Table1[[Result for year]:[Result for year]],Table1[[Project reference]:[Project reference]], $A12,Table1[[Standard Indicator ID Short]:[Standard Indicator ID Short]], BJ$4) &gt; 0, 1, 0)</f>
        <v>0</v>
      </c>
      <c r="BK12" s="144"/>
      <c r="BL12" s="79"/>
      <c r="BM12" s="148">
        <f t="shared" si="0"/>
        <v>2</v>
      </c>
      <c r="BN12" s="79"/>
      <c r="BO12" s="78"/>
    </row>
    <row r="13" spans="1:67" ht="14.25" customHeight="1" x14ac:dyDescent="0.25">
      <c r="A13" s="170" t="s">
        <v>313</v>
      </c>
      <c r="B13" s="173" t="s">
        <v>411</v>
      </c>
      <c r="C13" s="137">
        <f>IF(SUMIFS(Table1[[Result for year]:[Result for year]],Table1[[Project reference]:[Project reference]], $A13,Table1[[Standard Indicator ID Short]:[Standard Indicator ID Short]], C$4) &gt; 0, 1, 0)</f>
        <v>0</v>
      </c>
      <c r="D13" s="232">
        <f>IF(SUMIFS(Table1[[Result for year]:[Result for year]],Table1[[Project reference]:[Project reference]], $A13,Table1[[Standard Indicator ID Short]:[Standard Indicator ID Short]], D$4) &gt; 0, 1, 0)</f>
        <v>0</v>
      </c>
      <c r="E13" s="232">
        <f>IF(SUMIFS(Table1[[Result for year]:[Result for year]],Table1[[Project reference]:[Project reference]], $A13,Table1[[Standard Indicator ID Short]:[Standard Indicator ID Short]], E$4) &gt; 0, 1, 0)</f>
        <v>0</v>
      </c>
      <c r="F13" s="232">
        <f>IF(SUMIFS(Table1[[Result for year]:[Result for year]],Table1[[Project reference]:[Project reference]], $A13,Table1[[Standard Indicator ID Short]:[Standard Indicator ID Short]], F$4) &gt; 0, 1, 0)</f>
        <v>0</v>
      </c>
      <c r="G13" s="232">
        <f>IF(SUMIFS(Table1[[Result for year]:[Result for year]],Table1[[Project reference]:[Project reference]], $A13,Table1[[Standard Indicator ID Short]:[Standard Indicator ID Short]], G$4) &gt; 0, 1, 0)</f>
        <v>0</v>
      </c>
      <c r="H13" s="232">
        <f>IF(SUMIFS(Table1[[Result for year]:[Result for year]],Table1[[Project reference]:[Project reference]], $A13,Table1[[Standard Indicator ID Short]:[Standard Indicator ID Short]], H$4) &gt; 0, 1, 0)</f>
        <v>0</v>
      </c>
      <c r="I13" s="232">
        <f>IF(SUMIFS(Table1[[Result for year]:[Result for year]],Table1[[Project reference]:[Project reference]], $A13,Table1[[Standard Indicator ID Short]:[Standard Indicator ID Short]], I$4) &gt; 0, 1, 0)</f>
        <v>0</v>
      </c>
      <c r="J13" s="232">
        <f>IF(SUMIFS(Table1[[Result for year]:[Result for year]],Table1[[Project reference]:[Project reference]], $A13,Table1[[Standard Indicator ID Short]:[Standard Indicator ID Short]], J$4) &gt; 0, 1, 0)</f>
        <v>0</v>
      </c>
      <c r="K13" s="232">
        <f>IF(SUMIFS(Table1[[Result for year]:[Result for year]],Table1[[Project reference]:[Project reference]], $A13,Table1[[Standard Indicator ID Short]:[Standard Indicator ID Short]], K$4) &gt; 0, 1, 0)</f>
        <v>0</v>
      </c>
      <c r="L13" s="232">
        <f>IF(SUMIFS(Table1[[Result for year]:[Result for year]],Table1[[Project reference]:[Project reference]], $A13,Table1[[Standard Indicator ID Short]:[Standard Indicator ID Short]], L$4) &gt; 0, 1, 0)</f>
        <v>0</v>
      </c>
      <c r="M13" s="137">
        <f>IF(SUMIFS(Table1[[Result for year]:[Result for year]],Table1[[Project reference]:[Project reference]], $A13,Table1[[Standard Indicator ID Short]:[Standard Indicator ID Short]], M$4) &gt; 0, 1, 0)</f>
        <v>0</v>
      </c>
      <c r="N13" s="232">
        <f>IF(SUMIFS(Table1[[Result for year]:[Result for year]],Table1[[Project reference]:[Project reference]], $A13,Table1[[Standard Indicator ID Short]:[Standard Indicator ID Short]], N$4) &gt; 0, 1, 0)</f>
        <v>0</v>
      </c>
      <c r="O13" s="232">
        <f>IF(SUMIFS(Table1[[Result for year]:[Result for year]],Table1[[Project reference]:[Project reference]], $A13,Table1[[Standard Indicator ID Short]:[Standard Indicator ID Short]], O$4) &gt; 0, 1, 0)</f>
        <v>0</v>
      </c>
      <c r="P13" s="232">
        <f>IF(SUMIFS(Table1[[Result for year]:[Result for year]],Table1[[Project reference]:[Project reference]], $A13,Table1[[Standard Indicator ID Short]:[Standard Indicator ID Short]], P$4) &gt; 0, 1, 0)</f>
        <v>0</v>
      </c>
      <c r="Q13" s="232">
        <f>IF(SUMIFS(Table1[[Result for year]:[Result for year]],Table1[[Project reference]:[Project reference]], $A13,Table1[[Standard Indicator ID Short]:[Standard Indicator ID Short]], Q$4) &gt; 0, 1, 0)</f>
        <v>0</v>
      </c>
      <c r="R13" s="232">
        <f>IF(SUMIFS(Table1[[Result for year]:[Result for year]],Table1[[Project reference]:[Project reference]], $A13,Table1[[Standard Indicator ID Short]:[Standard Indicator ID Short]], R$4) &gt; 0, 1, 0)</f>
        <v>0</v>
      </c>
      <c r="S13" s="232">
        <f>IF(SUMIFS(Table1[[Result for year]:[Result for year]],Table1[[Project reference]:[Project reference]], $A13,Table1[[Standard Indicator ID Short]:[Standard Indicator ID Short]], S$4) &gt; 0, 1, 0)</f>
        <v>0</v>
      </c>
      <c r="T13" s="232">
        <f>IF(SUMIFS(Table1[[Result for year]:[Result for year]],Table1[[Project reference]:[Project reference]], $A13,Table1[[Standard Indicator ID Short]:[Standard Indicator ID Short]], T$4) &gt; 0, 1, 0)</f>
        <v>0</v>
      </c>
      <c r="U13" s="232">
        <f>IF(SUMIFS(Table1[[Result for year]:[Result for year]],Table1[[Project reference]:[Project reference]], $A13,Table1[[Standard Indicator ID Short]:[Standard Indicator ID Short]], U$4) &gt; 0, 1, 0)</f>
        <v>0</v>
      </c>
      <c r="V13" s="232">
        <f>IF(SUMIFS(Table1[[Result for year]:[Result for year]],Table1[[Project reference]:[Project reference]], $A13,Table1[[Standard Indicator ID Short]:[Standard Indicator ID Short]], V$4) &gt; 0, 1, 0)</f>
        <v>0</v>
      </c>
      <c r="W13" s="232">
        <f>IF(SUMIFS(Table1[[Result for year]:[Result for year]],Table1[[Project reference]:[Project reference]], $A13,Table1[[Standard Indicator ID Short]:[Standard Indicator ID Short]], W$4) &gt; 0, 1, 0)</f>
        <v>0</v>
      </c>
      <c r="X13" s="232">
        <f>IF(SUMIFS(Table1[[Result for year]:[Result for year]],Table1[[Project reference]:[Project reference]], $A13,Table1[[Standard Indicator ID Short]:[Standard Indicator ID Short]], X$4) &gt; 0, 1, 0)</f>
        <v>0</v>
      </c>
      <c r="Y13" s="137">
        <f>IF(SUMIFS(Table1[[Result for year]:[Result for year]],Table1[[Project reference]:[Project reference]], $A13,Table1[[Standard Indicator ID Short]:[Standard Indicator ID Short]], Y$4) &gt; 0, 1, 0)</f>
        <v>0</v>
      </c>
      <c r="Z13" s="232">
        <f>IF(SUMIFS(Table1[[Result for year]:[Result for year]],Table1[[Project reference]:[Project reference]], $A13,Table1[[Standard Indicator ID Short]:[Standard Indicator ID Short]], Z$4) &gt; 0, 1, 0)</f>
        <v>0</v>
      </c>
      <c r="AA13" s="232">
        <f>IF(SUMIFS(Table1[[Result for year]:[Result for year]],Table1[[Project reference]:[Project reference]], $A13,Table1[[Standard Indicator ID Short]:[Standard Indicator ID Short]], AA$4) &gt; 0, 1, 0)</f>
        <v>0</v>
      </c>
      <c r="AB13" s="232">
        <f>IF(SUMIFS(Table1[[Result for year]:[Result for year]],Table1[[Project reference]:[Project reference]], $A13,Table1[[Standard Indicator ID Short]:[Standard Indicator ID Short]], AB$4) &gt; 0, 1, 0)</f>
        <v>0</v>
      </c>
      <c r="AC13" s="232">
        <f>IF(SUMIFS(Table1[[Result for year]:[Result for year]],Table1[[Project reference]:[Project reference]], $A13,Table1[[Standard Indicator ID Short]:[Standard Indicator ID Short]], AC$4) &gt; 0, 1, 0)</f>
        <v>0</v>
      </c>
      <c r="AD13" s="232">
        <f>IF(SUMIFS(Table1[[Result for year]:[Result for year]],Table1[[Project reference]:[Project reference]], $A13,Table1[[Standard Indicator ID Short]:[Standard Indicator ID Short]], AD$4) &gt; 0, 1, 0)</f>
        <v>0</v>
      </c>
      <c r="AE13" s="232">
        <f>IF(SUMIFS(Table1[[Result for year]:[Result for year]],Table1[[Project reference]:[Project reference]], $A13,Table1[[Standard Indicator ID Short]:[Standard Indicator ID Short]], AE$4) &gt; 0, 1, 0)</f>
        <v>0</v>
      </c>
      <c r="AF13" s="232">
        <f>IF(SUMIFS(Table1[[Result for year]:[Result for year]],Table1[[Project reference]:[Project reference]], $A13,Table1[[Standard Indicator ID Short]:[Standard Indicator ID Short]], AF$4) &gt; 0, 1, 0)</f>
        <v>0</v>
      </c>
      <c r="AG13" s="232">
        <f>IF(SUMIFS(Table1[[Result for year]:[Result for year]],Table1[[Project reference]:[Project reference]], $A13,Table1[[Standard Indicator ID Short]:[Standard Indicator ID Short]], AG$4) &gt; 0, 1, 0)</f>
        <v>0</v>
      </c>
      <c r="AH13" s="232">
        <f>IF(SUMIFS(Table1[[Result for year]:[Result for year]],Table1[[Project reference]:[Project reference]], $A13,Table1[[Standard Indicator ID Short]:[Standard Indicator ID Short]], AH$4) &gt; 0, 1, 0)</f>
        <v>0</v>
      </c>
      <c r="AI13" s="232">
        <f>IF(SUMIFS(Table1[[Result for year]:[Result for year]],Table1[[Project reference]:[Project reference]], $A13,Table1[[Standard Indicator ID Short]:[Standard Indicator ID Short]], AI$4) &gt; 0, 1, 0)</f>
        <v>0</v>
      </c>
      <c r="AJ13" s="232">
        <f>IF(SUMIFS(Table1[[Result for year]:[Result for year]],Table1[[Project reference]:[Project reference]], $A13,Table1[[Standard Indicator ID Short]:[Standard Indicator ID Short]], AJ$4) &gt; 0, 1, 0)</f>
        <v>1</v>
      </c>
      <c r="AK13" s="232">
        <f>IF(SUMIFS(Table1[[Result for year]:[Result for year]],Table1[[Project reference]:[Project reference]], $A13,Table1[[Standard Indicator ID Short]:[Standard Indicator ID Short]], AK$4) &gt; 0, 1, 0)</f>
        <v>0</v>
      </c>
      <c r="AL13" s="232">
        <f>IF(SUMIFS(Table1[[Result for year]:[Result for year]],Table1[[Project reference]:[Project reference]], $A13,Table1[[Standard Indicator ID Short]:[Standard Indicator ID Short]], AL$4) &gt; 0, 1, 0)</f>
        <v>0</v>
      </c>
      <c r="AM13" s="232">
        <f>IF(SUMIFS(Table1[[Result for year]:[Result for year]],Table1[[Project reference]:[Project reference]], $A13,Table1[[Standard Indicator ID Short]:[Standard Indicator ID Short]], AM$4) &gt; 0, 1, 0)</f>
        <v>0</v>
      </c>
      <c r="AN13" s="232">
        <f>IF(SUMIFS(Table1[[Result for year]:[Result for year]],Table1[[Project reference]:[Project reference]], $A13,Table1[[Standard Indicator ID Short]:[Standard Indicator ID Short]], AN$4) &gt; 0, 1, 0)</f>
        <v>0</v>
      </c>
      <c r="AO13" s="232">
        <f>IF(SUMIFS(Table1[[Result for year]:[Result for year]],Table1[[Project reference]:[Project reference]], $A13,Table1[[Standard Indicator ID Short]:[Standard Indicator ID Short]], AO$4) &gt; 0, 1, 0)</f>
        <v>0</v>
      </c>
      <c r="AP13" s="232">
        <f>IF(SUMIFS(Table1[[Result for year]:[Result for year]],Table1[[Project reference]:[Project reference]], $A13,Table1[[Standard Indicator ID Short]:[Standard Indicator ID Short]], AP$4) &gt; 0, 1, 0)</f>
        <v>0</v>
      </c>
      <c r="AQ13" s="232">
        <f>IF(SUMIFS(Table1[[Result for year]:[Result for year]],Table1[[Project reference]:[Project reference]], $A13,Table1[[Standard Indicator ID Short]:[Standard Indicator ID Short]], AQ$4) &gt; 0, 1, 0)</f>
        <v>0</v>
      </c>
      <c r="AR13" s="137">
        <f>IF(SUMIFS(Table1[[Result for year]:[Result for year]],Table1[[Project reference]:[Project reference]], $A13,Table1[[Standard Indicator ID Short]:[Standard Indicator ID Short]], AR$4) &gt; 0, 1, 0)</f>
        <v>0</v>
      </c>
      <c r="AS13" s="232">
        <f>IF(SUMIFS(Table1[[Result for year]:[Result for year]],Table1[[Project reference]:[Project reference]], $A13,Table1[[Standard Indicator ID Short]:[Standard Indicator ID Short]], AS$4) &gt; 0, 1, 0)</f>
        <v>0</v>
      </c>
      <c r="AT13" s="232">
        <f>IF(SUMIFS(Table1[[Result for year]:[Result for year]],Table1[[Project reference]:[Project reference]], $A13,Table1[[Standard Indicator ID Short]:[Standard Indicator ID Short]], AT$4) &gt; 0, 1, 0)</f>
        <v>0</v>
      </c>
      <c r="AU13" s="232">
        <f>IF(SUMIFS(Table1[[Result for year]:[Result for year]],Table1[[Project reference]:[Project reference]], $A13,Table1[[Standard Indicator ID Short]:[Standard Indicator ID Short]], AU$4) &gt; 0, 1, 0)</f>
        <v>0</v>
      </c>
      <c r="AV13" s="232">
        <f>IF(SUMIFS(Table1[[Result for year]:[Result for year]],Table1[[Project reference]:[Project reference]], $A13,Table1[[Standard Indicator ID Short]:[Standard Indicator ID Short]], AV$4) &gt; 0, 1, 0)</f>
        <v>0</v>
      </c>
      <c r="AW13" s="232">
        <f>IF(SUMIFS(Table1[[Result for year]:[Result for year]],Table1[[Project reference]:[Project reference]], $A13,Table1[[Standard Indicator ID Short]:[Standard Indicator ID Short]], AW$4) &gt; 0, 1, 0)</f>
        <v>0</v>
      </c>
      <c r="AX13" s="232">
        <f>IF(SUMIFS(Table1[[Result for year]:[Result for year]],Table1[[Project reference]:[Project reference]], $A13,Table1[[Standard Indicator ID Short]:[Standard Indicator ID Short]], AX$4) &gt; 0, 1, 0)</f>
        <v>0</v>
      </c>
      <c r="AY13" s="232">
        <f>IF(SUMIFS(Table1[[Result for year]:[Result for year]],Table1[[Project reference]:[Project reference]], $A13,Table1[[Standard Indicator ID Short]:[Standard Indicator ID Short]], AY$4) &gt; 0, 1, 0)</f>
        <v>0</v>
      </c>
      <c r="AZ13" s="232">
        <f>IF(SUMIFS(Table1[[Result for year]:[Result for year]],Table1[[Project reference]:[Project reference]], $A13,Table1[[Standard Indicator ID Short]:[Standard Indicator ID Short]], AZ$4) &gt; 0, 1, 0)</f>
        <v>0</v>
      </c>
      <c r="BA13" s="232">
        <f>IF(SUMIFS(Table1[[Result for year]:[Result for year]],Table1[[Project reference]:[Project reference]], $A13,Table1[[Standard Indicator ID Short]:[Standard Indicator ID Short]], BA$4) &gt; 0, 1, 0)</f>
        <v>0</v>
      </c>
      <c r="BB13" s="232">
        <f>IF(SUMIFS(Table1[[Result for year]:[Result for year]],Table1[[Project reference]:[Project reference]], $A13,Table1[[Standard Indicator ID Short]:[Standard Indicator ID Short]], BB$4) &gt; 0, 1, 0)</f>
        <v>0</v>
      </c>
      <c r="BC13" s="232">
        <f>IF(SUMIFS(Table1[[Result for year]:[Result for year]],Table1[[Project reference]:[Project reference]], $A13,Table1[[Standard Indicator ID Short]:[Standard Indicator ID Short]], BC$4) &gt; 0, 1, 0)</f>
        <v>0</v>
      </c>
      <c r="BD13" s="232">
        <f>IF(SUMIFS(Table1[[Result for year]:[Result for year]],Table1[[Project reference]:[Project reference]], $A13,Table1[[Standard Indicator ID Short]:[Standard Indicator ID Short]], BD$4) &gt; 0, 1, 0)</f>
        <v>0</v>
      </c>
      <c r="BE13" s="232">
        <f>IF(SUMIFS(Table1[[Result for year]:[Result for year]],Table1[[Project reference]:[Project reference]], $A13,Table1[[Standard Indicator ID Short]:[Standard Indicator ID Short]], BE$4) &gt; 0, 1, 0)</f>
        <v>0</v>
      </c>
      <c r="BF13" s="232">
        <f>IF(SUMIFS(Table1[[Result for year]:[Result for year]],Table1[[Project reference]:[Project reference]], $A13,Table1[[Standard Indicator ID Short]:[Standard Indicator ID Short]], BF$4) &gt; 0, 1, 0)</f>
        <v>0</v>
      </c>
      <c r="BG13" s="138">
        <f>IF(SUMIFS(Table1[[Result for year]:[Result for year]],Table1[[Project reference]:[Project reference]], $A13,Table1[[Standard Indicator ID Short]:[Standard Indicator ID Short]], BG$4) &gt; 0, 1, 0)</f>
        <v>0</v>
      </c>
      <c r="BH13" s="137">
        <f>IF(SUMIFS(Table1[[Result for year]:[Result for year]],Table1[[Project reference]:[Project reference]], $A13,Table1[[Standard Indicator ID Short]:[Standard Indicator ID Short]], BH$4) &gt; 0, 1, 0)</f>
        <v>0</v>
      </c>
      <c r="BI13" s="232">
        <f>IF(SUMIFS(Table1[[Result for year]:[Result for year]],Table1[[Project reference]:[Project reference]], $A13,Table1[[Standard Indicator ID Short]:[Standard Indicator ID Short]], BI$4) &gt; 0, 1, 0)</f>
        <v>0</v>
      </c>
      <c r="BJ13" s="138">
        <f>IF(SUMIFS(Table1[[Result for year]:[Result for year]],Table1[[Project reference]:[Project reference]], $A13,Table1[[Standard Indicator ID Short]:[Standard Indicator ID Short]], BJ$4) &gt; 0, 1, 0)</f>
        <v>0</v>
      </c>
      <c r="BK13" s="144"/>
      <c r="BL13" s="79"/>
      <c r="BM13" s="148">
        <f t="shared" si="0"/>
        <v>1</v>
      </c>
      <c r="BN13" s="79"/>
      <c r="BO13" s="78"/>
    </row>
    <row r="14" spans="1:67" ht="14.25" customHeight="1" x14ac:dyDescent="0.25">
      <c r="A14" s="170" t="s">
        <v>314</v>
      </c>
      <c r="B14" s="173" t="s">
        <v>412</v>
      </c>
      <c r="C14" s="137">
        <f>IF(SUMIFS(Table1[[Result for year]:[Result for year]],Table1[[Project reference]:[Project reference]], $A14,Table1[[Standard Indicator ID Short]:[Standard Indicator ID Short]], C$4) &gt; 0, 1, 0)</f>
        <v>1</v>
      </c>
      <c r="D14" s="232">
        <f>IF(SUMIFS(Table1[[Result for year]:[Result for year]],Table1[[Project reference]:[Project reference]], $A14,Table1[[Standard Indicator ID Short]:[Standard Indicator ID Short]], D$4) &gt; 0, 1, 0)</f>
        <v>0</v>
      </c>
      <c r="E14" s="232">
        <f>IF(SUMIFS(Table1[[Result for year]:[Result for year]],Table1[[Project reference]:[Project reference]], $A14,Table1[[Standard Indicator ID Short]:[Standard Indicator ID Short]], E$4) &gt; 0, 1, 0)</f>
        <v>0</v>
      </c>
      <c r="F14" s="232">
        <f>IF(SUMIFS(Table1[[Result for year]:[Result for year]],Table1[[Project reference]:[Project reference]], $A14,Table1[[Standard Indicator ID Short]:[Standard Indicator ID Short]], F$4) &gt; 0, 1, 0)</f>
        <v>0</v>
      </c>
      <c r="G14" s="232">
        <f>IF(SUMIFS(Table1[[Result for year]:[Result for year]],Table1[[Project reference]:[Project reference]], $A14,Table1[[Standard Indicator ID Short]:[Standard Indicator ID Short]], G$4) &gt; 0, 1, 0)</f>
        <v>0</v>
      </c>
      <c r="H14" s="232">
        <f>IF(SUMIFS(Table1[[Result for year]:[Result for year]],Table1[[Project reference]:[Project reference]], $A14,Table1[[Standard Indicator ID Short]:[Standard Indicator ID Short]], H$4) &gt; 0, 1, 0)</f>
        <v>0</v>
      </c>
      <c r="I14" s="232">
        <f>IF(SUMIFS(Table1[[Result for year]:[Result for year]],Table1[[Project reference]:[Project reference]], $A14,Table1[[Standard Indicator ID Short]:[Standard Indicator ID Short]], I$4) &gt; 0, 1, 0)</f>
        <v>0</v>
      </c>
      <c r="J14" s="232">
        <f>IF(SUMIFS(Table1[[Result for year]:[Result for year]],Table1[[Project reference]:[Project reference]], $A14,Table1[[Standard Indicator ID Short]:[Standard Indicator ID Short]], J$4) &gt; 0, 1, 0)</f>
        <v>0</v>
      </c>
      <c r="K14" s="232">
        <f>IF(SUMIFS(Table1[[Result for year]:[Result for year]],Table1[[Project reference]:[Project reference]], $A14,Table1[[Standard Indicator ID Short]:[Standard Indicator ID Short]], K$4) &gt; 0, 1, 0)</f>
        <v>0</v>
      </c>
      <c r="L14" s="232">
        <f>IF(SUMIFS(Table1[[Result for year]:[Result for year]],Table1[[Project reference]:[Project reference]], $A14,Table1[[Standard Indicator ID Short]:[Standard Indicator ID Short]], L$4) &gt; 0, 1, 0)</f>
        <v>0</v>
      </c>
      <c r="M14" s="137">
        <f>IF(SUMIFS(Table1[[Result for year]:[Result for year]],Table1[[Project reference]:[Project reference]], $A14,Table1[[Standard Indicator ID Short]:[Standard Indicator ID Short]], M$4) &gt; 0, 1, 0)</f>
        <v>0</v>
      </c>
      <c r="N14" s="232">
        <f>IF(SUMIFS(Table1[[Result for year]:[Result for year]],Table1[[Project reference]:[Project reference]], $A14,Table1[[Standard Indicator ID Short]:[Standard Indicator ID Short]], N$4) &gt; 0, 1, 0)</f>
        <v>0</v>
      </c>
      <c r="O14" s="232">
        <f>IF(SUMIFS(Table1[[Result for year]:[Result for year]],Table1[[Project reference]:[Project reference]], $A14,Table1[[Standard Indicator ID Short]:[Standard Indicator ID Short]], O$4) &gt; 0, 1, 0)</f>
        <v>0</v>
      </c>
      <c r="P14" s="232">
        <f>IF(SUMIFS(Table1[[Result for year]:[Result for year]],Table1[[Project reference]:[Project reference]], $A14,Table1[[Standard Indicator ID Short]:[Standard Indicator ID Short]], P$4) &gt; 0, 1, 0)</f>
        <v>0</v>
      </c>
      <c r="Q14" s="232">
        <f>IF(SUMIFS(Table1[[Result for year]:[Result for year]],Table1[[Project reference]:[Project reference]], $A14,Table1[[Standard Indicator ID Short]:[Standard Indicator ID Short]], Q$4) &gt; 0, 1, 0)</f>
        <v>0</v>
      </c>
      <c r="R14" s="232">
        <f>IF(SUMIFS(Table1[[Result for year]:[Result for year]],Table1[[Project reference]:[Project reference]], $A14,Table1[[Standard Indicator ID Short]:[Standard Indicator ID Short]], R$4) &gt; 0, 1, 0)</f>
        <v>0</v>
      </c>
      <c r="S14" s="232">
        <f>IF(SUMIFS(Table1[[Result for year]:[Result for year]],Table1[[Project reference]:[Project reference]], $A14,Table1[[Standard Indicator ID Short]:[Standard Indicator ID Short]], S$4) &gt; 0, 1, 0)</f>
        <v>0</v>
      </c>
      <c r="T14" s="232">
        <f>IF(SUMIFS(Table1[[Result for year]:[Result for year]],Table1[[Project reference]:[Project reference]], $A14,Table1[[Standard Indicator ID Short]:[Standard Indicator ID Short]], T$4) &gt; 0, 1, 0)</f>
        <v>0</v>
      </c>
      <c r="U14" s="232">
        <f>IF(SUMIFS(Table1[[Result for year]:[Result for year]],Table1[[Project reference]:[Project reference]], $A14,Table1[[Standard Indicator ID Short]:[Standard Indicator ID Short]], U$4) &gt; 0, 1, 0)</f>
        <v>0</v>
      </c>
      <c r="V14" s="232">
        <f>IF(SUMIFS(Table1[[Result for year]:[Result for year]],Table1[[Project reference]:[Project reference]], $A14,Table1[[Standard Indicator ID Short]:[Standard Indicator ID Short]], V$4) &gt; 0, 1, 0)</f>
        <v>0</v>
      </c>
      <c r="W14" s="232">
        <f>IF(SUMIFS(Table1[[Result for year]:[Result for year]],Table1[[Project reference]:[Project reference]], $A14,Table1[[Standard Indicator ID Short]:[Standard Indicator ID Short]], W$4) &gt; 0, 1, 0)</f>
        <v>0</v>
      </c>
      <c r="X14" s="232">
        <f>IF(SUMIFS(Table1[[Result for year]:[Result for year]],Table1[[Project reference]:[Project reference]], $A14,Table1[[Standard Indicator ID Short]:[Standard Indicator ID Short]], X$4) &gt; 0, 1, 0)</f>
        <v>0</v>
      </c>
      <c r="Y14" s="137">
        <f>IF(SUMIFS(Table1[[Result for year]:[Result for year]],Table1[[Project reference]:[Project reference]], $A14,Table1[[Standard Indicator ID Short]:[Standard Indicator ID Short]], Y$4) &gt; 0, 1, 0)</f>
        <v>1</v>
      </c>
      <c r="Z14" s="232">
        <f>IF(SUMIFS(Table1[[Result for year]:[Result for year]],Table1[[Project reference]:[Project reference]], $A14,Table1[[Standard Indicator ID Short]:[Standard Indicator ID Short]], Z$4) &gt; 0, 1, 0)</f>
        <v>0</v>
      </c>
      <c r="AA14" s="232">
        <f>IF(SUMIFS(Table1[[Result for year]:[Result for year]],Table1[[Project reference]:[Project reference]], $A14,Table1[[Standard Indicator ID Short]:[Standard Indicator ID Short]], AA$4) &gt; 0, 1, 0)</f>
        <v>0</v>
      </c>
      <c r="AB14" s="232">
        <f>IF(SUMIFS(Table1[[Result for year]:[Result for year]],Table1[[Project reference]:[Project reference]], $A14,Table1[[Standard Indicator ID Short]:[Standard Indicator ID Short]], AB$4) &gt; 0, 1, 0)</f>
        <v>0</v>
      </c>
      <c r="AC14" s="232">
        <f>IF(SUMIFS(Table1[[Result for year]:[Result for year]],Table1[[Project reference]:[Project reference]], $A14,Table1[[Standard Indicator ID Short]:[Standard Indicator ID Short]], AC$4) &gt; 0, 1, 0)</f>
        <v>0</v>
      </c>
      <c r="AD14" s="232">
        <f>IF(SUMIFS(Table1[[Result for year]:[Result for year]],Table1[[Project reference]:[Project reference]], $A14,Table1[[Standard Indicator ID Short]:[Standard Indicator ID Short]], AD$4) &gt; 0, 1, 0)</f>
        <v>0</v>
      </c>
      <c r="AE14" s="232">
        <f>IF(SUMIFS(Table1[[Result for year]:[Result for year]],Table1[[Project reference]:[Project reference]], $A14,Table1[[Standard Indicator ID Short]:[Standard Indicator ID Short]], AE$4) &gt; 0, 1, 0)</f>
        <v>0</v>
      </c>
      <c r="AF14" s="232">
        <f>IF(SUMIFS(Table1[[Result for year]:[Result for year]],Table1[[Project reference]:[Project reference]], $A14,Table1[[Standard Indicator ID Short]:[Standard Indicator ID Short]], AF$4) &gt; 0, 1, 0)</f>
        <v>0</v>
      </c>
      <c r="AG14" s="232">
        <f>IF(SUMIFS(Table1[[Result for year]:[Result for year]],Table1[[Project reference]:[Project reference]], $A14,Table1[[Standard Indicator ID Short]:[Standard Indicator ID Short]], AG$4) &gt; 0, 1, 0)</f>
        <v>0</v>
      </c>
      <c r="AH14" s="232">
        <f>IF(SUMIFS(Table1[[Result for year]:[Result for year]],Table1[[Project reference]:[Project reference]], $A14,Table1[[Standard Indicator ID Short]:[Standard Indicator ID Short]], AH$4) &gt; 0, 1, 0)</f>
        <v>0</v>
      </c>
      <c r="AI14" s="232">
        <f>IF(SUMIFS(Table1[[Result for year]:[Result for year]],Table1[[Project reference]:[Project reference]], $A14,Table1[[Standard Indicator ID Short]:[Standard Indicator ID Short]], AI$4) &gt; 0, 1, 0)</f>
        <v>0</v>
      </c>
      <c r="AJ14" s="232">
        <f>IF(SUMIFS(Table1[[Result for year]:[Result for year]],Table1[[Project reference]:[Project reference]], $A14,Table1[[Standard Indicator ID Short]:[Standard Indicator ID Short]], AJ$4) &gt; 0, 1, 0)</f>
        <v>0</v>
      </c>
      <c r="AK14" s="232">
        <f>IF(SUMIFS(Table1[[Result for year]:[Result for year]],Table1[[Project reference]:[Project reference]], $A14,Table1[[Standard Indicator ID Short]:[Standard Indicator ID Short]], AK$4) &gt; 0, 1, 0)</f>
        <v>0</v>
      </c>
      <c r="AL14" s="232">
        <f>IF(SUMIFS(Table1[[Result for year]:[Result for year]],Table1[[Project reference]:[Project reference]], $A14,Table1[[Standard Indicator ID Short]:[Standard Indicator ID Short]], AL$4) &gt; 0, 1, 0)</f>
        <v>0</v>
      </c>
      <c r="AM14" s="232">
        <f>IF(SUMIFS(Table1[[Result for year]:[Result for year]],Table1[[Project reference]:[Project reference]], $A14,Table1[[Standard Indicator ID Short]:[Standard Indicator ID Short]], AM$4) &gt; 0, 1, 0)</f>
        <v>0</v>
      </c>
      <c r="AN14" s="232">
        <f>IF(SUMIFS(Table1[[Result for year]:[Result for year]],Table1[[Project reference]:[Project reference]], $A14,Table1[[Standard Indicator ID Short]:[Standard Indicator ID Short]], AN$4) &gt; 0, 1, 0)</f>
        <v>0</v>
      </c>
      <c r="AO14" s="232">
        <f>IF(SUMIFS(Table1[[Result for year]:[Result for year]],Table1[[Project reference]:[Project reference]], $A14,Table1[[Standard Indicator ID Short]:[Standard Indicator ID Short]], AO$4) &gt; 0, 1, 0)</f>
        <v>0</v>
      </c>
      <c r="AP14" s="232">
        <f>IF(SUMIFS(Table1[[Result for year]:[Result for year]],Table1[[Project reference]:[Project reference]], $A14,Table1[[Standard Indicator ID Short]:[Standard Indicator ID Short]], AP$4) &gt; 0, 1, 0)</f>
        <v>0</v>
      </c>
      <c r="AQ14" s="232">
        <f>IF(SUMIFS(Table1[[Result for year]:[Result for year]],Table1[[Project reference]:[Project reference]], $A14,Table1[[Standard Indicator ID Short]:[Standard Indicator ID Short]], AQ$4) &gt; 0, 1, 0)</f>
        <v>0</v>
      </c>
      <c r="AR14" s="137">
        <f>IF(SUMIFS(Table1[[Result for year]:[Result for year]],Table1[[Project reference]:[Project reference]], $A14,Table1[[Standard Indicator ID Short]:[Standard Indicator ID Short]], AR$4) &gt; 0, 1, 0)</f>
        <v>0</v>
      </c>
      <c r="AS14" s="232">
        <f>IF(SUMIFS(Table1[[Result for year]:[Result for year]],Table1[[Project reference]:[Project reference]], $A14,Table1[[Standard Indicator ID Short]:[Standard Indicator ID Short]], AS$4) &gt; 0, 1, 0)</f>
        <v>0</v>
      </c>
      <c r="AT14" s="232">
        <f>IF(SUMIFS(Table1[[Result for year]:[Result for year]],Table1[[Project reference]:[Project reference]], $A14,Table1[[Standard Indicator ID Short]:[Standard Indicator ID Short]], AT$4) &gt; 0, 1, 0)</f>
        <v>0</v>
      </c>
      <c r="AU14" s="232">
        <f>IF(SUMIFS(Table1[[Result for year]:[Result for year]],Table1[[Project reference]:[Project reference]], $A14,Table1[[Standard Indicator ID Short]:[Standard Indicator ID Short]], AU$4) &gt; 0, 1, 0)</f>
        <v>0</v>
      </c>
      <c r="AV14" s="232">
        <f>IF(SUMIFS(Table1[[Result for year]:[Result for year]],Table1[[Project reference]:[Project reference]], $A14,Table1[[Standard Indicator ID Short]:[Standard Indicator ID Short]], AV$4) &gt; 0, 1, 0)</f>
        <v>0</v>
      </c>
      <c r="AW14" s="232">
        <f>IF(SUMIFS(Table1[[Result for year]:[Result for year]],Table1[[Project reference]:[Project reference]], $A14,Table1[[Standard Indicator ID Short]:[Standard Indicator ID Short]], AW$4) &gt; 0, 1, 0)</f>
        <v>0</v>
      </c>
      <c r="AX14" s="232">
        <f>IF(SUMIFS(Table1[[Result for year]:[Result for year]],Table1[[Project reference]:[Project reference]], $A14,Table1[[Standard Indicator ID Short]:[Standard Indicator ID Short]], AX$4) &gt; 0, 1, 0)</f>
        <v>0</v>
      </c>
      <c r="AY14" s="232">
        <f>IF(SUMIFS(Table1[[Result for year]:[Result for year]],Table1[[Project reference]:[Project reference]], $A14,Table1[[Standard Indicator ID Short]:[Standard Indicator ID Short]], AY$4) &gt; 0, 1, 0)</f>
        <v>0</v>
      </c>
      <c r="AZ14" s="232">
        <f>IF(SUMIFS(Table1[[Result for year]:[Result for year]],Table1[[Project reference]:[Project reference]], $A14,Table1[[Standard Indicator ID Short]:[Standard Indicator ID Short]], AZ$4) &gt; 0, 1, 0)</f>
        <v>0</v>
      </c>
      <c r="BA14" s="232">
        <f>IF(SUMIFS(Table1[[Result for year]:[Result for year]],Table1[[Project reference]:[Project reference]], $A14,Table1[[Standard Indicator ID Short]:[Standard Indicator ID Short]], BA$4) &gt; 0, 1, 0)</f>
        <v>0</v>
      </c>
      <c r="BB14" s="232">
        <f>IF(SUMIFS(Table1[[Result for year]:[Result for year]],Table1[[Project reference]:[Project reference]], $A14,Table1[[Standard Indicator ID Short]:[Standard Indicator ID Short]], BB$4) &gt; 0, 1, 0)</f>
        <v>0</v>
      </c>
      <c r="BC14" s="232">
        <f>IF(SUMIFS(Table1[[Result for year]:[Result for year]],Table1[[Project reference]:[Project reference]], $A14,Table1[[Standard Indicator ID Short]:[Standard Indicator ID Short]], BC$4) &gt; 0, 1, 0)</f>
        <v>0</v>
      </c>
      <c r="BD14" s="232">
        <f>IF(SUMIFS(Table1[[Result for year]:[Result for year]],Table1[[Project reference]:[Project reference]], $A14,Table1[[Standard Indicator ID Short]:[Standard Indicator ID Short]], BD$4) &gt; 0, 1, 0)</f>
        <v>0</v>
      </c>
      <c r="BE14" s="232">
        <f>IF(SUMIFS(Table1[[Result for year]:[Result for year]],Table1[[Project reference]:[Project reference]], $A14,Table1[[Standard Indicator ID Short]:[Standard Indicator ID Short]], BE$4) &gt; 0, 1, 0)</f>
        <v>0</v>
      </c>
      <c r="BF14" s="232">
        <f>IF(SUMIFS(Table1[[Result for year]:[Result for year]],Table1[[Project reference]:[Project reference]], $A14,Table1[[Standard Indicator ID Short]:[Standard Indicator ID Short]], BF$4) &gt; 0, 1, 0)</f>
        <v>0</v>
      </c>
      <c r="BG14" s="138">
        <f>IF(SUMIFS(Table1[[Result for year]:[Result for year]],Table1[[Project reference]:[Project reference]], $A14,Table1[[Standard Indicator ID Short]:[Standard Indicator ID Short]], BG$4) &gt; 0, 1, 0)</f>
        <v>0</v>
      </c>
      <c r="BH14" s="137">
        <f>IF(SUMIFS(Table1[[Result for year]:[Result for year]],Table1[[Project reference]:[Project reference]], $A14,Table1[[Standard Indicator ID Short]:[Standard Indicator ID Short]], BH$4) &gt; 0, 1, 0)</f>
        <v>0</v>
      </c>
      <c r="BI14" s="232">
        <f>IF(SUMIFS(Table1[[Result for year]:[Result for year]],Table1[[Project reference]:[Project reference]], $A14,Table1[[Standard Indicator ID Short]:[Standard Indicator ID Short]], BI$4) &gt; 0, 1, 0)</f>
        <v>0</v>
      </c>
      <c r="BJ14" s="138">
        <f>IF(SUMIFS(Table1[[Result for year]:[Result for year]],Table1[[Project reference]:[Project reference]], $A14,Table1[[Standard Indicator ID Short]:[Standard Indicator ID Short]], BJ$4) &gt; 0, 1, 0)</f>
        <v>0</v>
      </c>
      <c r="BK14" s="144"/>
      <c r="BL14" s="79"/>
      <c r="BM14" s="148">
        <f t="shared" si="0"/>
        <v>2</v>
      </c>
      <c r="BN14" s="79"/>
      <c r="BO14" s="78"/>
    </row>
    <row r="15" spans="1:67" ht="14.25" customHeight="1" x14ac:dyDescent="0.25">
      <c r="A15" s="170" t="s">
        <v>315</v>
      </c>
      <c r="B15" s="173" t="s">
        <v>413</v>
      </c>
      <c r="C15" s="137">
        <f>IF(SUMIFS(Table1[[Result for year]:[Result for year]],Table1[[Project reference]:[Project reference]], $A15,Table1[[Standard Indicator ID Short]:[Standard Indicator ID Short]], C$4) &gt; 0, 1, 0)</f>
        <v>0</v>
      </c>
      <c r="D15" s="232">
        <f>IF(SUMIFS(Table1[[Result for year]:[Result for year]],Table1[[Project reference]:[Project reference]], $A15,Table1[[Standard Indicator ID Short]:[Standard Indicator ID Short]], D$4) &gt; 0, 1, 0)</f>
        <v>0</v>
      </c>
      <c r="E15" s="232">
        <f>IF(SUMIFS(Table1[[Result for year]:[Result for year]],Table1[[Project reference]:[Project reference]], $A15,Table1[[Standard Indicator ID Short]:[Standard Indicator ID Short]], E$4) &gt; 0, 1, 0)</f>
        <v>0</v>
      </c>
      <c r="F15" s="232">
        <f>IF(SUMIFS(Table1[[Result for year]:[Result for year]],Table1[[Project reference]:[Project reference]], $A15,Table1[[Standard Indicator ID Short]:[Standard Indicator ID Short]], F$4) &gt; 0, 1, 0)</f>
        <v>0</v>
      </c>
      <c r="G15" s="232">
        <f>IF(SUMIFS(Table1[[Result for year]:[Result for year]],Table1[[Project reference]:[Project reference]], $A15,Table1[[Standard Indicator ID Short]:[Standard Indicator ID Short]], G$4) &gt; 0, 1, 0)</f>
        <v>0</v>
      </c>
      <c r="H15" s="232">
        <f>IF(SUMIFS(Table1[[Result for year]:[Result for year]],Table1[[Project reference]:[Project reference]], $A15,Table1[[Standard Indicator ID Short]:[Standard Indicator ID Short]], H$4) &gt; 0, 1, 0)</f>
        <v>0</v>
      </c>
      <c r="I15" s="232">
        <f>IF(SUMIFS(Table1[[Result for year]:[Result for year]],Table1[[Project reference]:[Project reference]], $A15,Table1[[Standard Indicator ID Short]:[Standard Indicator ID Short]], I$4) &gt; 0, 1, 0)</f>
        <v>0</v>
      </c>
      <c r="J15" s="232">
        <f>IF(SUMIFS(Table1[[Result for year]:[Result for year]],Table1[[Project reference]:[Project reference]], $A15,Table1[[Standard Indicator ID Short]:[Standard Indicator ID Short]], J$4) &gt; 0, 1, 0)</f>
        <v>0</v>
      </c>
      <c r="K15" s="232">
        <f>IF(SUMIFS(Table1[[Result for year]:[Result for year]],Table1[[Project reference]:[Project reference]], $A15,Table1[[Standard Indicator ID Short]:[Standard Indicator ID Short]], K$4) &gt; 0, 1, 0)</f>
        <v>0</v>
      </c>
      <c r="L15" s="232">
        <f>IF(SUMIFS(Table1[[Result for year]:[Result for year]],Table1[[Project reference]:[Project reference]], $A15,Table1[[Standard Indicator ID Short]:[Standard Indicator ID Short]], L$4) &gt; 0, 1, 0)</f>
        <v>0</v>
      </c>
      <c r="M15" s="137">
        <f>IF(SUMIFS(Table1[[Result for year]:[Result for year]],Table1[[Project reference]:[Project reference]], $A15,Table1[[Standard Indicator ID Short]:[Standard Indicator ID Short]], M$4) &gt; 0, 1, 0)</f>
        <v>0</v>
      </c>
      <c r="N15" s="232">
        <f>IF(SUMIFS(Table1[[Result for year]:[Result for year]],Table1[[Project reference]:[Project reference]], $A15,Table1[[Standard Indicator ID Short]:[Standard Indicator ID Short]], N$4) &gt; 0, 1, 0)</f>
        <v>0</v>
      </c>
      <c r="O15" s="232">
        <f>IF(SUMIFS(Table1[[Result for year]:[Result for year]],Table1[[Project reference]:[Project reference]], $A15,Table1[[Standard Indicator ID Short]:[Standard Indicator ID Short]], O$4) &gt; 0, 1, 0)</f>
        <v>0</v>
      </c>
      <c r="P15" s="232">
        <f>IF(SUMIFS(Table1[[Result for year]:[Result for year]],Table1[[Project reference]:[Project reference]], $A15,Table1[[Standard Indicator ID Short]:[Standard Indicator ID Short]], P$4) &gt; 0, 1, 0)</f>
        <v>0</v>
      </c>
      <c r="Q15" s="232">
        <f>IF(SUMIFS(Table1[[Result for year]:[Result for year]],Table1[[Project reference]:[Project reference]], $A15,Table1[[Standard Indicator ID Short]:[Standard Indicator ID Short]], Q$4) &gt; 0, 1, 0)</f>
        <v>0</v>
      </c>
      <c r="R15" s="232">
        <f>IF(SUMIFS(Table1[[Result for year]:[Result for year]],Table1[[Project reference]:[Project reference]], $A15,Table1[[Standard Indicator ID Short]:[Standard Indicator ID Short]], R$4) &gt; 0, 1, 0)</f>
        <v>0</v>
      </c>
      <c r="S15" s="232">
        <f>IF(SUMIFS(Table1[[Result for year]:[Result for year]],Table1[[Project reference]:[Project reference]], $A15,Table1[[Standard Indicator ID Short]:[Standard Indicator ID Short]], S$4) &gt; 0, 1, 0)</f>
        <v>0</v>
      </c>
      <c r="T15" s="232">
        <f>IF(SUMIFS(Table1[[Result for year]:[Result for year]],Table1[[Project reference]:[Project reference]], $A15,Table1[[Standard Indicator ID Short]:[Standard Indicator ID Short]], T$4) &gt; 0, 1, 0)</f>
        <v>0</v>
      </c>
      <c r="U15" s="232">
        <f>IF(SUMIFS(Table1[[Result for year]:[Result for year]],Table1[[Project reference]:[Project reference]], $A15,Table1[[Standard Indicator ID Short]:[Standard Indicator ID Short]], U$4) &gt; 0, 1, 0)</f>
        <v>0</v>
      </c>
      <c r="V15" s="232">
        <f>IF(SUMIFS(Table1[[Result for year]:[Result for year]],Table1[[Project reference]:[Project reference]], $A15,Table1[[Standard Indicator ID Short]:[Standard Indicator ID Short]], V$4) &gt; 0, 1, 0)</f>
        <v>0</v>
      </c>
      <c r="W15" s="232">
        <f>IF(SUMIFS(Table1[[Result for year]:[Result for year]],Table1[[Project reference]:[Project reference]], $A15,Table1[[Standard Indicator ID Short]:[Standard Indicator ID Short]], W$4) &gt; 0, 1, 0)</f>
        <v>0</v>
      </c>
      <c r="X15" s="232">
        <f>IF(SUMIFS(Table1[[Result for year]:[Result for year]],Table1[[Project reference]:[Project reference]], $A15,Table1[[Standard Indicator ID Short]:[Standard Indicator ID Short]], X$4) &gt; 0, 1, 0)</f>
        <v>0</v>
      </c>
      <c r="Y15" s="137">
        <f>IF(SUMIFS(Table1[[Result for year]:[Result for year]],Table1[[Project reference]:[Project reference]], $A15,Table1[[Standard Indicator ID Short]:[Standard Indicator ID Short]], Y$4) &gt; 0, 1, 0)</f>
        <v>0</v>
      </c>
      <c r="Z15" s="232">
        <f>IF(SUMIFS(Table1[[Result for year]:[Result for year]],Table1[[Project reference]:[Project reference]], $A15,Table1[[Standard Indicator ID Short]:[Standard Indicator ID Short]], Z$4) &gt; 0, 1, 0)</f>
        <v>0</v>
      </c>
      <c r="AA15" s="232">
        <f>IF(SUMIFS(Table1[[Result for year]:[Result for year]],Table1[[Project reference]:[Project reference]], $A15,Table1[[Standard Indicator ID Short]:[Standard Indicator ID Short]], AA$4) &gt; 0, 1, 0)</f>
        <v>0</v>
      </c>
      <c r="AB15" s="232">
        <f>IF(SUMIFS(Table1[[Result for year]:[Result for year]],Table1[[Project reference]:[Project reference]], $A15,Table1[[Standard Indicator ID Short]:[Standard Indicator ID Short]], AB$4) &gt; 0, 1, 0)</f>
        <v>0</v>
      </c>
      <c r="AC15" s="232">
        <f>IF(SUMIFS(Table1[[Result for year]:[Result for year]],Table1[[Project reference]:[Project reference]], $A15,Table1[[Standard Indicator ID Short]:[Standard Indicator ID Short]], AC$4) &gt; 0, 1, 0)</f>
        <v>0</v>
      </c>
      <c r="AD15" s="232">
        <f>IF(SUMIFS(Table1[[Result for year]:[Result for year]],Table1[[Project reference]:[Project reference]], $A15,Table1[[Standard Indicator ID Short]:[Standard Indicator ID Short]], AD$4) &gt; 0, 1, 0)</f>
        <v>0</v>
      </c>
      <c r="AE15" s="232">
        <f>IF(SUMIFS(Table1[[Result for year]:[Result for year]],Table1[[Project reference]:[Project reference]], $A15,Table1[[Standard Indicator ID Short]:[Standard Indicator ID Short]], AE$4) &gt; 0, 1, 0)</f>
        <v>0</v>
      </c>
      <c r="AF15" s="232">
        <f>IF(SUMIFS(Table1[[Result for year]:[Result for year]],Table1[[Project reference]:[Project reference]], $A15,Table1[[Standard Indicator ID Short]:[Standard Indicator ID Short]], AF$4) &gt; 0, 1, 0)</f>
        <v>0</v>
      </c>
      <c r="AG15" s="232">
        <f>IF(SUMIFS(Table1[[Result for year]:[Result for year]],Table1[[Project reference]:[Project reference]], $A15,Table1[[Standard Indicator ID Short]:[Standard Indicator ID Short]], AG$4) &gt; 0, 1, 0)</f>
        <v>0</v>
      </c>
      <c r="AH15" s="232">
        <f>IF(SUMIFS(Table1[[Result for year]:[Result for year]],Table1[[Project reference]:[Project reference]], $A15,Table1[[Standard Indicator ID Short]:[Standard Indicator ID Short]], AH$4) &gt; 0, 1, 0)</f>
        <v>0</v>
      </c>
      <c r="AI15" s="232">
        <f>IF(SUMIFS(Table1[[Result for year]:[Result for year]],Table1[[Project reference]:[Project reference]], $A15,Table1[[Standard Indicator ID Short]:[Standard Indicator ID Short]], AI$4) &gt; 0, 1, 0)</f>
        <v>0</v>
      </c>
      <c r="AJ15" s="232">
        <f>IF(SUMIFS(Table1[[Result for year]:[Result for year]],Table1[[Project reference]:[Project reference]], $A15,Table1[[Standard Indicator ID Short]:[Standard Indicator ID Short]], AJ$4) &gt; 0, 1, 0)</f>
        <v>0</v>
      </c>
      <c r="AK15" s="232">
        <f>IF(SUMIFS(Table1[[Result for year]:[Result for year]],Table1[[Project reference]:[Project reference]], $A15,Table1[[Standard Indicator ID Short]:[Standard Indicator ID Short]], AK$4) &gt; 0, 1, 0)</f>
        <v>0</v>
      </c>
      <c r="AL15" s="232">
        <f>IF(SUMIFS(Table1[[Result for year]:[Result for year]],Table1[[Project reference]:[Project reference]], $A15,Table1[[Standard Indicator ID Short]:[Standard Indicator ID Short]], AL$4) &gt; 0, 1, 0)</f>
        <v>0</v>
      </c>
      <c r="AM15" s="232">
        <f>IF(SUMIFS(Table1[[Result for year]:[Result for year]],Table1[[Project reference]:[Project reference]], $A15,Table1[[Standard Indicator ID Short]:[Standard Indicator ID Short]], AM$4) &gt; 0, 1, 0)</f>
        <v>0</v>
      </c>
      <c r="AN15" s="232">
        <f>IF(SUMIFS(Table1[[Result for year]:[Result for year]],Table1[[Project reference]:[Project reference]], $A15,Table1[[Standard Indicator ID Short]:[Standard Indicator ID Short]], AN$4) &gt; 0, 1, 0)</f>
        <v>0</v>
      </c>
      <c r="AO15" s="232">
        <f>IF(SUMIFS(Table1[[Result for year]:[Result for year]],Table1[[Project reference]:[Project reference]], $A15,Table1[[Standard Indicator ID Short]:[Standard Indicator ID Short]], AO$4) &gt; 0, 1, 0)</f>
        <v>0</v>
      </c>
      <c r="AP15" s="232">
        <f>IF(SUMIFS(Table1[[Result for year]:[Result for year]],Table1[[Project reference]:[Project reference]], $A15,Table1[[Standard Indicator ID Short]:[Standard Indicator ID Short]], AP$4) &gt; 0, 1, 0)</f>
        <v>0</v>
      </c>
      <c r="AQ15" s="232">
        <f>IF(SUMIFS(Table1[[Result for year]:[Result for year]],Table1[[Project reference]:[Project reference]], $A15,Table1[[Standard Indicator ID Short]:[Standard Indicator ID Short]], AQ$4) &gt; 0, 1, 0)</f>
        <v>0</v>
      </c>
      <c r="AR15" s="137">
        <f>IF(SUMIFS(Table1[[Result for year]:[Result for year]],Table1[[Project reference]:[Project reference]], $A15,Table1[[Standard Indicator ID Short]:[Standard Indicator ID Short]], AR$4) &gt; 0, 1, 0)</f>
        <v>0</v>
      </c>
      <c r="AS15" s="232">
        <f>IF(SUMIFS(Table1[[Result for year]:[Result for year]],Table1[[Project reference]:[Project reference]], $A15,Table1[[Standard Indicator ID Short]:[Standard Indicator ID Short]], AS$4) &gt; 0, 1, 0)</f>
        <v>0</v>
      </c>
      <c r="AT15" s="232">
        <f>IF(SUMIFS(Table1[[Result for year]:[Result for year]],Table1[[Project reference]:[Project reference]], $A15,Table1[[Standard Indicator ID Short]:[Standard Indicator ID Short]], AT$4) &gt; 0, 1, 0)</f>
        <v>0</v>
      </c>
      <c r="AU15" s="232">
        <f>IF(SUMIFS(Table1[[Result for year]:[Result for year]],Table1[[Project reference]:[Project reference]], $A15,Table1[[Standard Indicator ID Short]:[Standard Indicator ID Short]], AU$4) &gt; 0, 1, 0)</f>
        <v>0</v>
      </c>
      <c r="AV15" s="232">
        <f>IF(SUMIFS(Table1[[Result for year]:[Result for year]],Table1[[Project reference]:[Project reference]], $A15,Table1[[Standard Indicator ID Short]:[Standard Indicator ID Short]], AV$4) &gt; 0, 1, 0)</f>
        <v>0</v>
      </c>
      <c r="AW15" s="232">
        <f>IF(SUMIFS(Table1[[Result for year]:[Result for year]],Table1[[Project reference]:[Project reference]], $A15,Table1[[Standard Indicator ID Short]:[Standard Indicator ID Short]], AW$4) &gt; 0, 1, 0)</f>
        <v>0</v>
      </c>
      <c r="AX15" s="232">
        <f>IF(SUMIFS(Table1[[Result for year]:[Result for year]],Table1[[Project reference]:[Project reference]], $A15,Table1[[Standard Indicator ID Short]:[Standard Indicator ID Short]], AX$4) &gt; 0, 1, 0)</f>
        <v>0</v>
      </c>
      <c r="AY15" s="232">
        <f>IF(SUMIFS(Table1[[Result for year]:[Result for year]],Table1[[Project reference]:[Project reference]], $A15,Table1[[Standard Indicator ID Short]:[Standard Indicator ID Short]], AY$4) &gt; 0, 1, 0)</f>
        <v>0</v>
      </c>
      <c r="AZ15" s="232">
        <f>IF(SUMIFS(Table1[[Result for year]:[Result for year]],Table1[[Project reference]:[Project reference]], $A15,Table1[[Standard Indicator ID Short]:[Standard Indicator ID Short]], AZ$4) &gt; 0, 1, 0)</f>
        <v>0</v>
      </c>
      <c r="BA15" s="232">
        <f>IF(SUMIFS(Table1[[Result for year]:[Result for year]],Table1[[Project reference]:[Project reference]], $A15,Table1[[Standard Indicator ID Short]:[Standard Indicator ID Short]], BA$4) &gt; 0, 1, 0)</f>
        <v>0</v>
      </c>
      <c r="BB15" s="232">
        <f>IF(SUMIFS(Table1[[Result for year]:[Result for year]],Table1[[Project reference]:[Project reference]], $A15,Table1[[Standard Indicator ID Short]:[Standard Indicator ID Short]], BB$4) &gt; 0, 1, 0)</f>
        <v>0</v>
      </c>
      <c r="BC15" s="232">
        <f>IF(SUMIFS(Table1[[Result for year]:[Result for year]],Table1[[Project reference]:[Project reference]], $A15,Table1[[Standard Indicator ID Short]:[Standard Indicator ID Short]], BC$4) &gt; 0, 1, 0)</f>
        <v>0</v>
      </c>
      <c r="BD15" s="232">
        <f>IF(SUMIFS(Table1[[Result for year]:[Result for year]],Table1[[Project reference]:[Project reference]], $A15,Table1[[Standard Indicator ID Short]:[Standard Indicator ID Short]], BD$4) &gt; 0, 1, 0)</f>
        <v>0</v>
      </c>
      <c r="BE15" s="232">
        <f>IF(SUMIFS(Table1[[Result for year]:[Result for year]],Table1[[Project reference]:[Project reference]], $A15,Table1[[Standard Indicator ID Short]:[Standard Indicator ID Short]], BE$4) &gt; 0, 1, 0)</f>
        <v>0</v>
      </c>
      <c r="BF15" s="232">
        <f>IF(SUMIFS(Table1[[Result for year]:[Result for year]],Table1[[Project reference]:[Project reference]], $A15,Table1[[Standard Indicator ID Short]:[Standard Indicator ID Short]], BF$4) &gt; 0, 1, 0)</f>
        <v>0</v>
      </c>
      <c r="BG15" s="138">
        <f>IF(SUMIFS(Table1[[Result for year]:[Result for year]],Table1[[Project reference]:[Project reference]], $A15,Table1[[Standard Indicator ID Short]:[Standard Indicator ID Short]], BG$4) &gt; 0, 1, 0)</f>
        <v>0</v>
      </c>
      <c r="BH15" s="137">
        <f>IF(SUMIFS(Table1[[Result for year]:[Result for year]],Table1[[Project reference]:[Project reference]], $A15,Table1[[Standard Indicator ID Short]:[Standard Indicator ID Short]], BH$4) &gt; 0, 1, 0)</f>
        <v>0</v>
      </c>
      <c r="BI15" s="232">
        <f>IF(SUMIFS(Table1[[Result for year]:[Result for year]],Table1[[Project reference]:[Project reference]], $A15,Table1[[Standard Indicator ID Short]:[Standard Indicator ID Short]], BI$4) &gt; 0, 1, 0)</f>
        <v>0</v>
      </c>
      <c r="BJ15" s="138">
        <f>IF(SUMIFS(Table1[[Result for year]:[Result for year]],Table1[[Project reference]:[Project reference]], $A15,Table1[[Standard Indicator ID Short]:[Standard Indicator ID Short]], BJ$4) &gt; 0, 1, 0)</f>
        <v>0</v>
      </c>
      <c r="BK15" s="144"/>
      <c r="BL15" s="79"/>
      <c r="BM15" s="148">
        <f t="shared" si="0"/>
        <v>0</v>
      </c>
      <c r="BN15" s="79"/>
      <c r="BO15" s="78"/>
    </row>
    <row r="16" spans="1:67" ht="14.25" customHeight="1" x14ac:dyDescent="0.25">
      <c r="A16" s="170" t="s">
        <v>112</v>
      </c>
      <c r="B16" s="173" t="s">
        <v>113</v>
      </c>
      <c r="C16" s="137">
        <f>IF(SUMIFS(Table1[[Result for year]:[Result for year]],Table1[[Project reference]:[Project reference]], $A16,Table1[[Standard Indicator ID Short]:[Standard Indicator ID Short]], C$4) &gt; 0, 1, 0)</f>
        <v>0</v>
      </c>
      <c r="D16" s="232">
        <f>IF(SUMIFS(Table1[[Result for year]:[Result for year]],Table1[[Project reference]:[Project reference]], $A16,Table1[[Standard Indicator ID Short]:[Standard Indicator ID Short]], D$4) &gt; 0, 1, 0)</f>
        <v>0</v>
      </c>
      <c r="E16" s="232">
        <f>IF(SUMIFS(Table1[[Result for year]:[Result for year]],Table1[[Project reference]:[Project reference]], $A16,Table1[[Standard Indicator ID Short]:[Standard Indicator ID Short]], E$4) &gt; 0, 1, 0)</f>
        <v>0</v>
      </c>
      <c r="F16" s="232">
        <f>IF(SUMIFS(Table1[[Result for year]:[Result for year]],Table1[[Project reference]:[Project reference]], $A16,Table1[[Standard Indicator ID Short]:[Standard Indicator ID Short]], F$4) &gt; 0, 1, 0)</f>
        <v>0</v>
      </c>
      <c r="G16" s="232">
        <f>IF(SUMIFS(Table1[[Result for year]:[Result for year]],Table1[[Project reference]:[Project reference]], $A16,Table1[[Standard Indicator ID Short]:[Standard Indicator ID Short]], G$4) &gt; 0, 1, 0)</f>
        <v>0</v>
      </c>
      <c r="H16" s="232">
        <f>IF(SUMIFS(Table1[[Result for year]:[Result for year]],Table1[[Project reference]:[Project reference]], $A16,Table1[[Standard Indicator ID Short]:[Standard Indicator ID Short]], H$4) &gt; 0, 1, 0)</f>
        <v>0</v>
      </c>
      <c r="I16" s="232">
        <f>IF(SUMIFS(Table1[[Result for year]:[Result for year]],Table1[[Project reference]:[Project reference]], $A16,Table1[[Standard Indicator ID Short]:[Standard Indicator ID Short]], I$4) &gt; 0, 1, 0)</f>
        <v>1</v>
      </c>
      <c r="J16" s="232">
        <f>IF(SUMIFS(Table1[[Result for year]:[Result for year]],Table1[[Project reference]:[Project reference]], $A16,Table1[[Standard Indicator ID Short]:[Standard Indicator ID Short]], J$4) &gt; 0, 1, 0)</f>
        <v>0</v>
      </c>
      <c r="K16" s="232">
        <f>IF(SUMIFS(Table1[[Result for year]:[Result for year]],Table1[[Project reference]:[Project reference]], $A16,Table1[[Standard Indicator ID Short]:[Standard Indicator ID Short]], K$4) &gt; 0, 1, 0)</f>
        <v>0</v>
      </c>
      <c r="L16" s="232">
        <f>IF(SUMIFS(Table1[[Result for year]:[Result for year]],Table1[[Project reference]:[Project reference]], $A16,Table1[[Standard Indicator ID Short]:[Standard Indicator ID Short]], L$4) &gt; 0, 1, 0)</f>
        <v>0</v>
      </c>
      <c r="M16" s="137">
        <f>IF(SUMIFS(Table1[[Result for year]:[Result for year]],Table1[[Project reference]:[Project reference]], $A16,Table1[[Standard Indicator ID Short]:[Standard Indicator ID Short]], M$4) &gt; 0, 1, 0)</f>
        <v>0</v>
      </c>
      <c r="N16" s="232">
        <f>IF(SUMIFS(Table1[[Result for year]:[Result for year]],Table1[[Project reference]:[Project reference]], $A16,Table1[[Standard Indicator ID Short]:[Standard Indicator ID Short]], N$4) &gt; 0, 1, 0)</f>
        <v>0</v>
      </c>
      <c r="O16" s="232">
        <f>IF(SUMIFS(Table1[[Result for year]:[Result for year]],Table1[[Project reference]:[Project reference]], $A16,Table1[[Standard Indicator ID Short]:[Standard Indicator ID Short]], O$4) &gt; 0, 1, 0)</f>
        <v>0</v>
      </c>
      <c r="P16" s="232">
        <f>IF(SUMIFS(Table1[[Result for year]:[Result for year]],Table1[[Project reference]:[Project reference]], $A16,Table1[[Standard Indicator ID Short]:[Standard Indicator ID Short]], P$4) &gt; 0, 1, 0)</f>
        <v>0</v>
      </c>
      <c r="Q16" s="232">
        <f>IF(SUMIFS(Table1[[Result for year]:[Result for year]],Table1[[Project reference]:[Project reference]], $A16,Table1[[Standard Indicator ID Short]:[Standard Indicator ID Short]], Q$4) &gt; 0, 1, 0)</f>
        <v>1</v>
      </c>
      <c r="R16" s="232">
        <f>IF(SUMIFS(Table1[[Result for year]:[Result for year]],Table1[[Project reference]:[Project reference]], $A16,Table1[[Standard Indicator ID Short]:[Standard Indicator ID Short]], R$4) &gt; 0, 1, 0)</f>
        <v>0</v>
      </c>
      <c r="S16" s="232">
        <f>IF(SUMIFS(Table1[[Result for year]:[Result for year]],Table1[[Project reference]:[Project reference]], $A16,Table1[[Standard Indicator ID Short]:[Standard Indicator ID Short]], S$4) &gt; 0, 1, 0)</f>
        <v>0</v>
      </c>
      <c r="T16" s="232">
        <f>IF(SUMIFS(Table1[[Result for year]:[Result for year]],Table1[[Project reference]:[Project reference]], $A16,Table1[[Standard Indicator ID Short]:[Standard Indicator ID Short]], T$4) &gt; 0, 1, 0)</f>
        <v>0</v>
      </c>
      <c r="U16" s="232">
        <f>IF(SUMIFS(Table1[[Result for year]:[Result for year]],Table1[[Project reference]:[Project reference]], $A16,Table1[[Standard Indicator ID Short]:[Standard Indicator ID Short]], U$4) &gt; 0, 1, 0)</f>
        <v>0</v>
      </c>
      <c r="V16" s="232">
        <f>IF(SUMIFS(Table1[[Result for year]:[Result for year]],Table1[[Project reference]:[Project reference]], $A16,Table1[[Standard Indicator ID Short]:[Standard Indicator ID Short]], V$4) &gt; 0, 1, 0)</f>
        <v>0</v>
      </c>
      <c r="W16" s="232">
        <f>IF(SUMIFS(Table1[[Result for year]:[Result for year]],Table1[[Project reference]:[Project reference]], $A16,Table1[[Standard Indicator ID Short]:[Standard Indicator ID Short]], W$4) &gt; 0, 1, 0)</f>
        <v>0</v>
      </c>
      <c r="X16" s="232">
        <f>IF(SUMIFS(Table1[[Result for year]:[Result for year]],Table1[[Project reference]:[Project reference]], $A16,Table1[[Standard Indicator ID Short]:[Standard Indicator ID Short]], X$4) &gt; 0, 1, 0)</f>
        <v>0</v>
      </c>
      <c r="Y16" s="137">
        <f>IF(SUMIFS(Table1[[Result for year]:[Result for year]],Table1[[Project reference]:[Project reference]], $A16,Table1[[Standard Indicator ID Short]:[Standard Indicator ID Short]], Y$4) &gt; 0, 1, 0)</f>
        <v>0</v>
      </c>
      <c r="Z16" s="232">
        <f>IF(SUMIFS(Table1[[Result for year]:[Result for year]],Table1[[Project reference]:[Project reference]], $A16,Table1[[Standard Indicator ID Short]:[Standard Indicator ID Short]], Z$4) &gt; 0, 1, 0)</f>
        <v>0</v>
      </c>
      <c r="AA16" s="232">
        <f>IF(SUMIFS(Table1[[Result for year]:[Result for year]],Table1[[Project reference]:[Project reference]], $A16,Table1[[Standard Indicator ID Short]:[Standard Indicator ID Short]], AA$4) &gt; 0, 1, 0)</f>
        <v>0</v>
      </c>
      <c r="AB16" s="232">
        <f>IF(SUMIFS(Table1[[Result for year]:[Result for year]],Table1[[Project reference]:[Project reference]], $A16,Table1[[Standard Indicator ID Short]:[Standard Indicator ID Short]], AB$4) &gt; 0, 1, 0)</f>
        <v>0</v>
      </c>
      <c r="AC16" s="232">
        <f>IF(SUMIFS(Table1[[Result for year]:[Result for year]],Table1[[Project reference]:[Project reference]], $A16,Table1[[Standard Indicator ID Short]:[Standard Indicator ID Short]], AC$4) &gt; 0, 1, 0)</f>
        <v>1</v>
      </c>
      <c r="AD16" s="232">
        <f>IF(SUMIFS(Table1[[Result for year]:[Result for year]],Table1[[Project reference]:[Project reference]], $A16,Table1[[Standard Indicator ID Short]:[Standard Indicator ID Short]], AD$4) &gt; 0, 1, 0)</f>
        <v>0</v>
      </c>
      <c r="AE16" s="232">
        <f>IF(SUMIFS(Table1[[Result for year]:[Result for year]],Table1[[Project reference]:[Project reference]], $A16,Table1[[Standard Indicator ID Short]:[Standard Indicator ID Short]], AE$4) &gt; 0, 1, 0)</f>
        <v>0</v>
      </c>
      <c r="AF16" s="232">
        <f>IF(SUMIFS(Table1[[Result for year]:[Result for year]],Table1[[Project reference]:[Project reference]], $A16,Table1[[Standard Indicator ID Short]:[Standard Indicator ID Short]], AF$4) &gt; 0, 1, 0)</f>
        <v>0</v>
      </c>
      <c r="AG16" s="232">
        <f>IF(SUMIFS(Table1[[Result for year]:[Result for year]],Table1[[Project reference]:[Project reference]], $A16,Table1[[Standard Indicator ID Short]:[Standard Indicator ID Short]], AG$4) &gt; 0, 1, 0)</f>
        <v>0</v>
      </c>
      <c r="AH16" s="232">
        <f>IF(SUMIFS(Table1[[Result for year]:[Result for year]],Table1[[Project reference]:[Project reference]], $A16,Table1[[Standard Indicator ID Short]:[Standard Indicator ID Short]], AH$4) &gt; 0, 1, 0)</f>
        <v>0</v>
      </c>
      <c r="AI16" s="232">
        <f>IF(SUMIFS(Table1[[Result for year]:[Result for year]],Table1[[Project reference]:[Project reference]], $A16,Table1[[Standard Indicator ID Short]:[Standard Indicator ID Short]], AI$4) &gt; 0, 1, 0)</f>
        <v>0</v>
      </c>
      <c r="AJ16" s="232">
        <f>IF(SUMIFS(Table1[[Result for year]:[Result for year]],Table1[[Project reference]:[Project reference]], $A16,Table1[[Standard Indicator ID Short]:[Standard Indicator ID Short]], AJ$4) &gt; 0, 1, 0)</f>
        <v>1</v>
      </c>
      <c r="AK16" s="232">
        <f>IF(SUMIFS(Table1[[Result for year]:[Result for year]],Table1[[Project reference]:[Project reference]], $A16,Table1[[Standard Indicator ID Short]:[Standard Indicator ID Short]], AK$4) &gt; 0, 1, 0)</f>
        <v>1</v>
      </c>
      <c r="AL16" s="232">
        <f>IF(SUMIFS(Table1[[Result for year]:[Result for year]],Table1[[Project reference]:[Project reference]], $A16,Table1[[Standard Indicator ID Short]:[Standard Indicator ID Short]], AL$4) &gt; 0, 1, 0)</f>
        <v>0</v>
      </c>
      <c r="AM16" s="232">
        <f>IF(SUMIFS(Table1[[Result for year]:[Result for year]],Table1[[Project reference]:[Project reference]], $A16,Table1[[Standard Indicator ID Short]:[Standard Indicator ID Short]], AM$4) &gt; 0, 1, 0)</f>
        <v>1</v>
      </c>
      <c r="AN16" s="232">
        <f>IF(SUMIFS(Table1[[Result for year]:[Result for year]],Table1[[Project reference]:[Project reference]], $A16,Table1[[Standard Indicator ID Short]:[Standard Indicator ID Short]], AN$4) &gt; 0, 1, 0)</f>
        <v>0</v>
      </c>
      <c r="AO16" s="232">
        <f>IF(SUMIFS(Table1[[Result for year]:[Result for year]],Table1[[Project reference]:[Project reference]], $A16,Table1[[Standard Indicator ID Short]:[Standard Indicator ID Short]], AO$4) &gt; 0, 1, 0)</f>
        <v>0</v>
      </c>
      <c r="AP16" s="232">
        <f>IF(SUMIFS(Table1[[Result for year]:[Result for year]],Table1[[Project reference]:[Project reference]], $A16,Table1[[Standard Indicator ID Short]:[Standard Indicator ID Short]], AP$4) &gt; 0, 1, 0)</f>
        <v>0</v>
      </c>
      <c r="AQ16" s="232">
        <f>IF(SUMIFS(Table1[[Result for year]:[Result for year]],Table1[[Project reference]:[Project reference]], $A16,Table1[[Standard Indicator ID Short]:[Standard Indicator ID Short]], AQ$4) &gt; 0, 1, 0)</f>
        <v>0</v>
      </c>
      <c r="AR16" s="137">
        <f>IF(SUMIFS(Table1[[Result for year]:[Result for year]],Table1[[Project reference]:[Project reference]], $A16,Table1[[Standard Indicator ID Short]:[Standard Indicator ID Short]], AR$4) &gt; 0, 1, 0)</f>
        <v>0</v>
      </c>
      <c r="AS16" s="232">
        <f>IF(SUMIFS(Table1[[Result for year]:[Result for year]],Table1[[Project reference]:[Project reference]], $A16,Table1[[Standard Indicator ID Short]:[Standard Indicator ID Short]], AS$4) &gt; 0, 1, 0)</f>
        <v>0</v>
      </c>
      <c r="AT16" s="232">
        <f>IF(SUMIFS(Table1[[Result for year]:[Result for year]],Table1[[Project reference]:[Project reference]], $A16,Table1[[Standard Indicator ID Short]:[Standard Indicator ID Short]], AT$4) &gt; 0, 1, 0)</f>
        <v>0</v>
      </c>
      <c r="AU16" s="232">
        <f>IF(SUMIFS(Table1[[Result for year]:[Result for year]],Table1[[Project reference]:[Project reference]], $A16,Table1[[Standard Indicator ID Short]:[Standard Indicator ID Short]], AU$4) &gt; 0, 1, 0)</f>
        <v>0</v>
      </c>
      <c r="AV16" s="232">
        <f>IF(SUMIFS(Table1[[Result for year]:[Result for year]],Table1[[Project reference]:[Project reference]], $A16,Table1[[Standard Indicator ID Short]:[Standard Indicator ID Short]], AV$4) &gt; 0, 1, 0)</f>
        <v>0</v>
      </c>
      <c r="AW16" s="232">
        <f>IF(SUMIFS(Table1[[Result for year]:[Result for year]],Table1[[Project reference]:[Project reference]], $A16,Table1[[Standard Indicator ID Short]:[Standard Indicator ID Short]], AW$4) &gt; 0, 1, 0)</f>
        <v>0</v>
      </c>
      <c r="AX16" s="232">
        <f>IF(SUMIFS(Table1[[Result for year]:[Result for year]],Table1[[Project reference]:[Project reference]], $A16,Table1[[Standard Indicator ID Short]:[Standard Indicator ID Short]], AX$4) &gt; 0, 1, 0)</f>
        <v>0</v>
      </c>
      <c r="AY16" s="232">
        <f>IF(SUMIFS(Table1[[Result for year]:[Result for year]],Table1[[Project reference]:[Project reference]], $A16,Table1[[Standard Indicator ID Short]:[Standard Indicator ID Short]], AY$4) &gt; 0, 1, 0)</f>
        <v>0</v>
      </c>
      <c r="AZ16" s="232">
        <f>IF(SUMIFS(Table1[[Result for year]:[Result for year]],Table1[[Project reference]:[Project reference]], $A16,Table1[[Standard Indicator ID Short]:[Standard Indicator ID Short]], AZ$4) &gt; 0, 1, 0)</f>
        <v>0</v>
      </c>
      <c r="BA16" s="232">
        <f>IF(SUMIFS(Table1[[Result for year]:[Result for year]],Table1[[Project reference]:[Project reference]], $A16,Table1[[Standard Indicator ID Short]:[Standard Indicator ID Short]], BA$4) &gt; 0, 1, 0)</f>
        <v>0</v>
      </c>
      <c r="BB16" s="232">
        <f>IF(SUMIFS(Table1[[Result for year]:[Result for year]],Table1[[Project reference]:[Project reference]], $A16,Table1[[Standard Indicator ID Short]:[Standard Indicator ID Short]], BB$4) &gt; 0, 1, 0)</f>
        <v>0</v>
      </c>
      <c r="BC16" s="232">
        <f>IF(SUMIFS(Table1[[Result for year]:[Result for year]],Table1[[Project reference]:[Project reference]], $A16,Table1[[Standard Indicator ID Short]:[Standard Indicator ID Short]], BC$4) &gt; 0, 1, 0)</f>
        <v>0</v>
      </c>
      <c r="BD16" s="232">
        <f>IF(SUMIFS(Table1[[Result for year]:[Result for year]],Table1[[Project reference]:[Project reference]], $A16,Table1[[Standard Indicator ID Short]:[Standard Indicator ID Short]], BD$4) &gt; 0, 1, 0)</f>
        <v>0</v>
      </c>
      <c r="BE16" s="232">
        <f>IF(SUMIFS(Table1[[Result for year]:[Result for year]],Table1[[Project reference]:[Project reference]], $A16,Table1[[Standard Indicator ID Short]:[Standard Indicator ID Short]], BE$4) &gt; 0, 1, 0)</f>
        <v>0</v>
      </c>
      <c r="BF16" s="232">
        <f>IF(SUMIFS(Table1[[Result for year]:[Result for year]],Table1[[Project reference]:[Project reference]], $A16,Table1[[Standard Indicator ID Short]:[Standard Indicator ID Short]], BF$4) &gt; 0, 1, 0)</f>
        <v>0</v>
      </c>
      <c r="BG16" s="138">
        <f>IF(SUMIFS(Table1[[Result for year]:[Result for year]],Table1[[Project reference]:[Project reference]], $A16,Table1[[Standard Indicator ID Short]:[Standard Indicator ID Short]], BG$4) &gt; 0, 1, 0)</f>
        <v>0</v>
      </c>
      <c r="BH16" s="137">
        <f>IF(SUMIFS(Table1[[Result for year]:[Result for year]],Table1[[Project reference]:[Project reference]], $A16,Table1[[Standard Indicator ID Short]:[Standard Indicator ID Short]], BH$4) &gt; 0, 1, 0)</f>
        <v>0</v>
      </c>
      <c r="BI16" s="232">
        <f>IF(SUMIFS(Table1[[Result for year]:[Result for year]],Table1[[Project reference]:[Project reference]], $A16,Table1[[Standard Indicator ID Short]:[Standard Indicator ID Short]], BI$4) &gt; 0, 1, 0)</f>
        <v>0</v>
      </c>
      <c r="BJ16" s="138">
        <f>IF(SUMIFS(Table1[[Result for year]:[Result for year]],Table1[[Project reference]:[Project reference]], $A16,Table1[[Standard Indicator ID Short]:[Standard Indicator ID Short]], BJ$4) &gt; 0, 1, 0)</f>
        <v>0</v>
      </c>
      <c r="BK16" s="144"/>
      <c r="BL16" s="79"/>
      <c r="BM16" s="148">
        <f t="shared" si="0"/>
        <v>6</v>
      </c>
      <c r="BN16" s="79"/>
      <c r="BO16" s="78"/>
    </row>
    <row r="17" spans="1:67" ht="14.25" customHeight="1" x14ac:dyDescent="0.25">
      <c r="A17" s="170" t="s">
        <v>316</v>
      </c>
      <c r="B17" s="173" t="s">
        <v>414</v>
      </c>
      <c r="C17" s="137">
        <f>IF(SUMIFS(Table1[[Result for year]:[Result for year]],Table1[[Project reference]:[Project reference]], $A17,Table1[[Standard Indicator ID Short]:[Standard Indicator ID Short]], C$4) &gt; 0, 1, 0)</f>
        <v>0</v>
      </c>
      <c r="D17" s="232">
        <f>IF(SUMIFS(Table1[[Result for year]:[Result for year]],Table1[[Project reference]:[Project reference]], $A17,Table1[[Standard Indicator ID Short]:[Standard Indicator ID Short]], D$4) &gt; 0, 1, 0)</f>
        <v>0</v>
      </c>
      <c r="E17" s="232">
        <f>IF(SUMIFS(Table1[[Result for year]:[Result for year]],Table1[[Project reference]:[Project reference]], $A17,Table1[[Standard Indicator ID Short]:[Standard Indicator ID Short]], E$4) &gt; 0, 1, 0)</f>
        <v>0</v>
      </c>
      <c r="F17" s="232">
        <f>IF(SUMIFS(Table1[[Result for year]:[Result for year]],Table1[[Project reference]:[Project reference]], $A17,Table1[[Standard Indicator ID Short]:[Standard Indicator ID Short]], F$4) &gt; 0, 1, 0)</f>
        <v>0</v>
      </c>
      <c r="G17" s="232">
        <f>IF(SUMIFS(Table1[[Result for year]:[Result for year]],Table1[[Project reference]:[Project reference]], $A17,Table1[[Standard Indicator ID Short]:[Standard Indicator ID Short]], G$4) &gt; 0, 1, 0)</f>
        <v>0</v>
      </c>
      <c r="H17" s="232">
        <f>IF(SUMIFS(Table1[[Result for year]:[Result for year]],Table1[[Project reference]:[Project reference]], $A17,Table1[[Standard Indicator ID Short]:[Standard Indicator ID Short]], H$4) &gt; 0, 1, 0)</f>
        <v>0</v>
      </c>
      <c r="I17" s="232">
        <f>IF(SUMIFS(Table1[[Result for year]:[Result for year]],Table1[[Project reference]:[Project reference]], $A17,Table1[[Standard Indicator ID Short]:[Standard Indicator ID Short]], I$4) &gt; 0, 1, 0)</f>
        <v>0</v>
      </c>
      <c r="J17" s="232">
        <f>IF(SUMIFS(Table1[[Result for year]:[Result for year]],Table1[[Project reference]:[Project reference]], $A17,Table1[[Standard Indicator ID Short]:[Standard Indicator ID Short]], J$4) &gt; 0, 1, 0)</f>
        <v>0</v>
      </c>
      <c r="K17" s="232">
        <f>IF(SUMIFS(Table1[[Result for year]:[Result for year]],Table1[[Project reference]:[Project reference]], $A17,Table1[[Standard Indicator ID Short]:[Standard Indicator ID Short]], K$4) &gt; 0, 1, 0)</f>
        <v>0</v>
      </c>
      <c r="L17" s="232">
        <f>IF(SUMIFS(Table1[[Result for year]:[Result for year]],Table1[[Project reference]:[Project reference]], $A17,Table1[[Standard Indicator ID Short]:[Standard Indicator ID Short]], L$4) &gt; 0, 1, 0)</f>
        <v>0</v>
      </c>
      <c r="M17" s="137">
        <f>IF(SUMIFS(Table1[[Result for year]:[Result for year]],Table1[[Project reference]:[Project reference]], $A17,Table1[[Standard Indicator ID Short]:[Standard Indicator ID Short]], M$4) &gt; 0, 1, 0)</f>
        <v>1</v>
      </c>
      <c r="N17" s="232">
        <f>IF(SUMIFS(Table1[[Result for year]:[Result for year]],Table1[[Project reference]:[Project reference]], $A17,Table1[[Standard Indicator ID Short]:[Standard Indicator ID Short]], N$4) &gt; 0, 1, 0)</f>
        <v>0</v>
      </c>
      <c r="O17" s="232">
        <f>IF(SUMIFS(Table1[[Result for year]:[Result for year]],Table1[[Project reference]:[Project reference]], $A17,Table1[[Standard Indicator ID Short]:[Standard Indicator ID Short]], O$4) &gt; 0, 1, 0)</f>
        <v>0</v>
      </c>
      <c r="P17" s="232">
        <f>IF(SUMIFS(Table1[[Result for year]:[Result for year]],Table1[[Project reference]:[Project reference]], $A17,Table1[[Standard Indicator ID Short]:[Standard Indicator ID Short]], P$4) &gt; 0, 1, 0)</f>
        <v>0</v>
      </c>
      <c r="Q17" s="232">
        <f>IF(SUMIFS(Table1[[Result for year]:[Result for year]],Table1[[Project reference]:[Project reference]], $A17,Table1[[Standard Indicator ID Short]:[Standard Indicator ID Short]], Q$4) &gt; 0, 1, 0)</f>
        <v>0</v>
      </c>
      <c r="R17" s="232">
        <f>IF(SUMIFS(Table1[[Result for year]:[Result for year]],Table1[[Project reference]:[Project reference]], $A17,Table1[[Standard Indicator ID Short]:[Standard Indicator ID Short]], R$4) &gt; 0, 1, 0)</f>
        <v>0</v>
      </c>
      <c r="S17" s="232">
        <f>IF(SUMIFS(Table1[[Result for year]:[Result for year]],Table1[[Project reference]:[Project reference]], $A17,Table1[[Standard Indicator ID Short]:[Standard Indicator ID Short]], S$4) &gt; 0, 1, 0)</f>
        <v>0</v>
      </c>
      <c r="T17" s="232">
        <f>IF(SUMIFS(Table1[[Result for year]:[Result for year]],Table1[[Project reference]:[Project reference]], $A17,Table1[[Standard Indicator ID Short]:[Standard Indicator ID Short]], T$4) &gt; 0, 1, 0)</f>
        <v>0</v>
      </c>
      <c r="U17" s="232">
        <f>IF(SUMIFS(Table1[[Result for year]:[Result for year]],Table1[[Project reference]:[Project reference]], $A17,Table1[[Standard Indicator ID Short]:[Standard Indicator ID Short]], U$4) &gt; 0, 1, 0)</f>
        <v>0</v>
      </c>
      <c r="V17" s="232">
        <f>IF(SUMIFS(Table1[[Result for year]:[Result for year]],Table1[[Project reference]:[Project reference]], $A17,Table1[[Standard Indicator ID Short]:[Standard Indicator ID Short]], V$4) &gt; 0, 1, 0)</f>
        <v>0</v>
      </c>
      <c r="W17" s="232">
        <f>IF(SUMIFS(Table1[[Result for year]:[Result for year]],Table1[[Project reference]:[Project reference]], $A17,Table1[[Standard Indicator ID Short]:[Standard Indicator ID Short]], W$4) &gt; 0, 1, 0)</f>
        <v>0</v>
      </c>
      <c r="X17" s="232">
        <f>IF(SUMIFS(Table1[[Result for year]:[Result for year]],Table1[[Project reference]:[Project reference]], $A17,Table1[[Standard Indicator ID Short]:[Standard Indicator ID Short]], X$4) &gt; 0, 1, 0)</f>
        <v>0</v>
      </c>
      <c r="Y17" s="137">
        <f>IF(SUMIFS(Table1[[Result for year]:[Result for year]],Table1[[Project reference]:[Project reference]], $A17,Table1[[Standard Indicator ID Short]:[Standard Indicator ID Short]], Y$4) &gt; 0, 1, 0)</f>
        <v>0</v>
      </c>
      <c r="Z17" s="232">
        <f>IF(SUMIFS(Table1[[Result for year]:[Result for year]],Table1[[Project reference]:[Project reference]], $A17,Table1[[Standard Indicator ID Short]:[Standard Indicator ID Short]], Z$4) &gt; 0, 1, 0)</f>
        <v>0</v>
      </c>
      <c r="AA17" s="232">
        <f>IF(SUMIFS(Table1[[Result for year]:[Result for year]],Table1[[Project reference]:[Project reference]], $A17,Table1[[Standard Indicator ID Short]:[Standard Indicator ID Short]], AA$4) &gt; 0, 1, 0)</f>
        <v>0</v>
      </c>
      <c r="AB17" s="232">
        <f>IF(SUMIFS(Table1[[Result for year]:[Result for year]],Table1[[Project reference]:[Project reference]], $A17,Table1[[Standard Indicator ID Short]:[Standard Indicator ID Short]], AB$4) &gt; 0, 1, 0)</f>
        <v>0</v>
      </c>
      <c r="AC17" s="232">
        <f>IF(SUMIFS(Table1[[Result for year]:[Result for year]],Table1[[Project reference]:[Project reference]], $A17,Table1[[Standard Indicator ID Short]:[Standard Indicator ID Short]], AC$4) &gt; 0, 1, 0)</f>
        <v>0</v>
      </c>
      <c r="AD17" s="232">
        <f>IF(SUMIFS(Table1[[Result for year]:[Result for year]],Table1[[Project reference]:[Project reference]], $A17,Table1[[Standard Indicator ID Short]:[Standard Indicator ID Short]], AD$4) &gt; 0, 1, 0)</f>
        <v>0</v>
      </c>
      <c r="AE17" s="232">
        <f>IF(SUMIFS(Table1[[Result for year]:[Result for year]],Table1[[Project reference]:[Project reference]], $A17,Table1[[Standard Indicator ID Short]:[Standard Indicator ID Short]], AE$4) &gt; 0, 1, 0)</f>
        <v>0</v>
      </c>
      <c r="AF17" s="232">
        <f>IF(SUMIFS(Table1[[Result for year]:[Result for year]],Table1[[Project reference]:[Project reference]], $A17,Table1[[Standard Indicator ID Short]:[Standard Indicator ID Short]], AF$4) &gt; 0, 1, 0)</f>
        <v>0</v>
      </c>
      <c r="AG17" s="232">
        <f>IF(SUMIFS(Table1[[Result for year]:[Result for year]],Table1[[Project reference]:[Project reference]], $A17,Table1[[Standard Indicator ID Short]:[Standard Indicator ID Short]], AG$4) &gt; 0, 1, 0)</f>
        <v>0</v>
      </c>
      <c r="AH17" s="232">
        <f>IF(SUMIFS(Table1[[Result for year]:[Result for year]],Table1[[Project reference]:[Project reference]], $A17,Table1[[Standard Indicator ID Short]:[Standard Indicator ID Short]], AH$4) &gt; 0, 1, 0)</f>
        <v>0</v>
      </c>
      <c r="AI17" s="232">
        <f>IF(SUMIFS(Table1[[Result for year]:[Result for year]],Table1[[Project reference]:[Project reference]], $A17,Table1[[Standard Indicator ID Short]:[Standard Indicator ID Short]], AI$4) &gt; 0, 1, 0)</f>
        <v>0</v>
      </c>
      <c r="AJ17" s="232">
        <f>IF(SUMIFS(Table1[[Result for year]:[Result for year]],Table1[[Project reference]:[Project reference]], $A17,Table1[[Standard Indicator ID Short]:[Standard Indicator ID Short]], AJ$4) &gt; 0, 1, 0)</f>
        <v>0</v>
      </c>
      <c r="AK17" s="232">
        <f>IF(SUMIFS(Table1[[Result for year]:[Result for year]],Table1[[Project reference]:[Project reference]], $A17,Table1[[Standard Indicator ID Short]:[Standard Indicator ID Short]], AK$4) &gt; 0, 1, 0)</f>
        <v>0</v>
      </c>
      <c r="AL17" s="232">
        <f>IF(SUMIFS(Table1[[Result for year]:[Result for year]],Table1[[Project reference]:[Project reference]], $A17,Table1[[Standard Indicator ID Short]:[Standard Indicator ID Short]], AL$4) &gt; 0, 1, 0)</f>
        <v>0</v>
      </c>
      <c r="AM17" s="232">
        <f>IF(SUMIFS(Table1[[Result for year]:[Result for year]],Table1[[Project reference]:[Project reference]], $A17,Table1[[Standard Indicator ID Short]:[Standard Indicator ID Short]], AM$4) &gt; 0, 1, 0)</f>
        <v>0</v>
      </c>
      <c r="AN17" s="232">
        <f>IF(SUMIFS(Table1[[Result for year]:[Result for year]],Table1[[Project reference]:[Project reference]], $A17,Table1[[Standard Indicator ID Short]:[Standard Indicator ID Short]], AN$4) &gt; 0, 1, 0)</f>
        <v>0</v>
      </c>
      <c r="AO17" s="232">
        <f>IF(SUMIFS(Table1[[Result for year]:[Result for year]],Table1[[Project reference]:[Project reference]], $A17,Table1[[Standard Indicator ID Short]:[Standard Indicator ID Short]], AO$4) &gt; 0, 1, 0)</f>
        <v>0</v>
      </c>
      <c r="AP17" s="232">
        <f>IF(SUMIFS(Table1[[Result for year]:[Result for year]],Table1[[Project reference]:[Project reference]], $A17,Table1[[Standard Indicator ID Short]:[Standard Indicator ID Short]], AP$4) &gt; 0, 1, 0)</f>
        <v>0</v>
      </c>
      <c r="AQ17" s="232">
        <f>IF(SUMIFS(Table1[[Result for year]:[Result for year]],Table1[[Project reference]:[Project reference]], $A17,Table1[[Standard Indicator ID Short]:[Standard Indicator ID Short]], AQ$4) &gt; 0, 1, 0)</f>
        <v>0</v>
      </c>
      <c r="AR17" s="137">
        <f>IF(SUMIFS(Table1[[Result for year]:[Result for year]],Table1[[Project reference]:[Project reference]], $A17,Table1[[Standard Indicator ID Short]:[Standard Indicator ID Short]], AR$4) &gt; 0, 1, 0)</f>
        <v>0</v>
      </c>
      <c r="AS17" s="232">
        <f>IF(SUMIFS(Table1[[Result for year]:[Result for year]],Table1[[Project reference]:[Project reference]], $A17,Table1[[Standard Indicator ID Short]:[Standard Indicator ID Short]], AS$4) &gt; 0, 1, 0)</f>
        <v>0</v>
      </c>
      <c r="AT17" s="232">
        <f>IF(SUMIFS(Table1[[Result for year]:[Result for year]],Table1[[Project reference]:[Project reference]], $A17,Table1[[Standard Indicator ID Short]:[Standard Indicator ID Short]], AT$4) &gt; 0, 1, 0)</f>
        <v>0</v>
      </c>
      <c r="AU17" s="232">
        <f>IF(SUMIFS(Table1[[Result for year]:[Result for year]],Table1[[Project reference]:[Project reference]], $A17,Table1[[Standard Indicator ID Short]:[Standard Indicator ID Short]], AU$4) &gt; 0, 1, 0)</f>
        <v>0</v>
      </c>
      <c r="AV17" s="232">
        <f>IF(SUMIFS(Table1[[Result for year]:[Result for year]],Table1[[Project reference]:[Project reference]], $A17,Table1[[Standard Indicator ID Short]:[Standard Indicator ID Short]], AV$4) &gt; 0, 1, 0)</f>
        <v>0</v>
      </c>
      <c r="AW17" s="232">
        <f>IF(SUMIFS(Table1[[Result for year]:[Result for year]],Table1[[Project reference]:[Project reference]], $A17,Table1[[Standard Indicator ID Short]:[Standard Indicator ID Short]], AW$4) &gt; 0, 1, 0)</f>
        <v>0</v>
      </c>
      <c r="AX17" s="232">
        <f>IF(SUMIFS(Table1[[Result for year]:[Result for year]],Table1[[Project reference]:[Project reference]], $A17,Table1[[Standard Indicator ID Short]:[Standard Indicator ID Short]], AX$4) &gt; 0, 1, 0)</f>
        <v>0</v>
      </c>
      <c r="AY17" s="232">
        <f>IF(SUMIFS(Table1[[Result for year]:[Result for year]],Table1[[Project reference]:[Project reference]], $A17,Table1[[Standard Indicator ID Short]:[Standard Indicator ID Short]], AY$4) &gt; 0, 1, 0)</f>
        <v>0</v>
      </c>
      <c r="AZ17" s="232">
        <f>IF(SUMIFS(Table1[[Result for year]:[Result for year]],Table1[[Project reference]:[Project reference]], $A17,Table1[[Standard Indicator ID Short]:[Standard Indicator ID Short]], AZ$4) &gt; 0, 1, 0)</f>
        <v>0</v>
      </c>
      <c r="BA17" s="232">
        <f>IF(SUMIFS(Table1[[Result for year]:[Result for year]],Table1[[Project reference]:[Project reference]], $A17,Table1[[Standard Indicator ID Short]:[Standard Indicator ID Short]], BA$4) &gt; 0, 1, 0)</f>
        <v>0</v>
      </c>
      <c r="BB17" s="232">
        <f>IF(SUMIFS(Table1[[Result for year]:[Result for year]],Table1[[Project reference]:[Project reference]], $A17,Table1[[Standard Indicator ID Short]:[Standard Indicator ID Short]], BB$4) &gt; 0, 1, 0)</f>
        <v>0</v>
      </c>
      <c r="BC17" s="232">
        <f>IF(SUMIFS(Table1[[Result for year]:[Result for year]],Table1[[Project reference]:[Project reference]], $A17,Table1[[Standard Indicator ID Short]:[Standard Indicator ID Short]], BC$4) &gt; 0, 1, 0)</f>
        <v>0</v>
      </c>
      <c r="BD17" s="232">
        <f>IF(SUMIFS(Table1[[Result for year]:[Result for year]],Table1[[Project reference]:[Project reference]], $A17,Table1[[Standard Indicator ID Short]:[Standard Indicator ID Short]], BD$4) &gt; 0, 1, 0)</f>
        <v>0</v>
      </c>
      <c r="BE17" s="232">
        <f>IF(SUMIFS(Table1[[Result for year]:[Result for year]],Table1[[Project reference]:[Project reference]], $A17,Table1[[Standard Indicator ID Short]:[Standard Indicator ID Short]], BE$4) &gt; 0, 1, 0)</f>
        <v>0</v>
      </c>
      <c r="BF17" s="232">
        <f>IF(SUMIFS(Table1[[Result for year]:[Result for year]],Table1[[Project reference]:[Project reference]], $A17,Table1[[Standard Indicator ID Short]:[Standard Indicator ID Short]], BF$4) &gt; 0, 1, 0)</f>
        <v>0</v>
      </c>
      <c r="BG17" s="138">
        <f>IF(SUMIFS(Table1[[Result for year]:[Result for year]],Table1[[Project reference]:[Project reference]], $A17,Table1[[Standard Indicator ID Short]:[Standard Indicator ID Short]], BG$4) &gt; 0, 1, 0)</f>
        <v>0</v>
      </c>
      <c r="BH17" s="137">
        <f>IF(SUMIFS(Table1[[Result for year]:[Result for year]],Table1[[Project reference]:[Project reference]], $A17,Table1[[Standard Indicator ID Short]:[Standard Indicator ID Short]], BH$4) &gt; 0, 1, 0)</f>
        <v>0</v>
      </c>
      <c r="BI17" s="232">
        <f>IF(SUMIFS(Table1[[Result for year]:[Result for year]],Table1[[Project reference]:[Project reference]], $A17,Table1[[Standard Indicator ID Short]:[Standard Indicator ID Short]], BI$4) &gt; 0, 1, 0)</f>
        <v>0</v>
      </c>
      <c r="BJ17" s="138">
        <f>IF(SUMIFS(Table1[[Result for year]:[Result for year]],Table1[[Project reference]:[Project reference]], $A17,Table1[[Standard Indicator ID Short]:[Standard Indicator ID Short]], BJ$4) &gt; 0, 1, 0)</f>
        <v>0</v>
      </c>
      <c r="BK17" s="144"/>
      <c r="BL17" s="79"/>
      <c r="BM17" s="148">
        <f t="shared" si="0"/>
        <v>1</v>
      </c>
      <c r="BN17" s="79"/>
      <c r="BO17" s="78"/>
    </row>
    <row r="18" spans="1:67" ht="14.25" customHeight="1" x14ac:dyDescent="0.25">
      <c r="A18" s="170" t="s">
        <v>317</v>
      </c>
      <c r="B18" s="173" t="s">
        <v>415</v>
      </c>
      <c r="C18" s="137">
        <f>IF(SUMIFS(Table1[[Result for year]:[Result for year]],Table1[[Project reference]:[Project reference]], $A18,Table1[[Standard Indicator ID Short]:[Standard Indicator ID Short]], C$4) &gt; 0, 1, 0)</f>
        <v>0</v>
      </c>
      <c r="D18" s="232">
        <f>IF(SUMIFS(Table1[[Result for year]:[Result for year]],Table1[[Project reference]:[Project reference]], $A18,Table1[[Standard Indicator ID Short]:[Standard Indicator ID Short]], D$4) &gt; 0, 1, 0)</f>
        <v>0</v>
      </c>
      <c r="E18" s="232">
        <f>IF(SUMIFS(Table1[[Result for year]:[Result for year]],Table1[[Project reference]:[Project reference]], $A18,Table1[[Standard Indicator ID Short]:[Standard Indicator ID Short]], E$4) &gt; 0, 1, 0)</f>
        <v>0</v>
      </c>
      <c r="F18" s="232">
        <f>IF(SUMIFS(Table1[[Result for year]:[Result for year]],Table1[[Project reference]:[Project reference]], $A18,Table1[[Standard Indicator ID Short]:[Standard Indicator ID Short]], F$4) &gt; 0, 1, 0)</f>
        <v>0</v>
      </c>
      <c r="G18" s="232">
        <f>IF(SUMIFS(Table1[[Result for year]:[Result for year]],Table1[[Project reference]:[Project reference]], $A18,Table1[[Standard Indicator ID Short]:[Standard Indicator ID Short]], G$4) &gt; 0, 1, 0)</f>
        <v>0</v>
      </c>
      <c r="H18" s="232">
        <f>IF(SUMIFS(Table1[[Result for year]:[Result for year]],Table1[[Project reference]:[Project reference]], $A18,Table1[[Standard Indicator ID Short]:[Standard Indicator ID Short]], H$4) &gt; 0, 1, 0)</f>
        <v>0</v>
      </c>
      <c r="I18" s="232">
        <f>IF(SUMIFS(Table1[[Result for year]:[Result for year]],Table1[[Project reference]:[Project reference]], $A18,Table1[[Standard Indicator ID Short]:[Standard Indicator ID Short]], I$4) &gt; 0, 1, 0)</f>
        <v>0</v>
      </c>
      <c r="J18" s="232">
        <f>IF(SUMIFS(Table1[[Result for year]:[Result for year]],Table1[[Project reference]:[Project reference]], $A18,Table1[[Standard Indicator ID Short]:[Standard Indicator ID Short]], J$4) &gt; 0, 1, 0)</f>
        <v>0</v>
      </c>
      <c r="K18" s="232">
        <f>IF(SUMIFS(Table1[[Result for year]:[Result for year]],Table1[[Project reference]:[Project reference]], $A18,Table1[[Standard Indicator ID Short]:[Standard Indicator ID Short]], K$4) &gt; 0, 1, 0)</f>
        <v>0</v>
      </c>
      <c r="L18" s="232">
        <f>IF(SUMIFS(Table1[[Result for year]:[Result for year]],Table1[[Project reference]:[Project reference]], $A18,Table1[[Standard Indicator ID Short]:[Standard Indicator ID Short]], L$4) &gt; 0, 1, 0)</f>
        <v>0</v>
      </c>
      <c r="M18" s="137">
        <f>IF(SUMIFS(Table1[[Result for year]:[Result for year]],Table1[[Project reference]:[Project reference]], $A18,Table1[[Standard Indicator ID Short]:[Standard Indicator ID Short]], M$4) &gt; 0, 1, 0)</f>
        <v>0</v>
      </c>
      <c r="N18" s="232">
        <f>IF(SUMIFS(Table1[[Result for year]:[Result for year]],Table1[[Project reference]:[Project reference]], $A18,Table1[[Standard Indicator ID Short]:[Standard Indicator ID Short]], N$4) &gt; 0, 1, 0)</f>
        <v>0</v>
      </c>
      <c r="O18" s="232">
        <f>IF(SUMIFS(Table1[[Result for year]:[Result for year]],Table1[[Project reference]:[Project reference]], $A18,Table1[[Standard Indicator ID Short]:[Standard Indicator ID Short]], O$4) &gt; 0, 1, 0)</f>
        <v>0</v>
      </c>
      <c r="P18" s="232">
        <f>IF(SUMIFS(Table1[[Result for year]:[Result for year]],Table1[[Project reference]:[Project reference]], $A18,Table1[[Standard Indicator ID Short]:[Standard Indicator ID Short]], P$4) &gt; 0, 1, 0)</f>
        <v>0</v>
      </c>
      <c r="Q18" s="232">
        <f>IF(SUMIFS(Table1[[Result for year]:[Result for year]],Table1[[Project reference]:[Project reference]], $A18,Table1[[Standard Indicator ID Short]:[Standard Indicator ID Short]], Q$4) &gt; 0, 1, 0)</f>
        <v>0</v>
      </c>
      <c r="R18" s="232">
        <f>IF(SUMIFS(Table1[[Result for year]:[Result for year]],Table1[[Project reference]:[Project reference]], $A18,Table1[[Standard Indicator ID Short]:[Standard Indicator ID Short]], R$4) &gt; 0, 1, 0)</f>
        <v>0</v>
      </c>
      <c r="S18" s="232">
        <f>IF(SUMIFS(Table1[[Result for year]:[Result for year]],Table1[[Project reference]:[Project reference]], $A18,Table1[[Standard Indicator ID Short]:[Standard Indicator ID Short]], S$4) &gt; 0, 1, 0)</f>
        <v>0</v>
      </c>
      <c r="T18" s="232">
        <f>IF(SUMIFS(Table1[[Result for year]:[Result for year]],Table1[[Project reference]:[Project reference]], $A18,Table1[[Standard Indicator ID Short]:[Standard Indicator ID Short]], T$4) &gt; 0, 1, 0)</f>
        <v>0</v>
      </c>
      <c r="U18" s="232">
        <f>IF(SUMIFS(Table1[[Result for year]:[Result for year]],Table1[[Project reference]:[Project reference]], $A18,Table1[[Standard Indicator ID Short]:[Standard Indicator ID Short]], U$4) &gt; 0, 1, 0)</f>
        <v>0</v>
      </c>
      <c r="V18" s="232">
        <f>IF(SUMIFS(Table1[[Result for year]:[Result for year]],Table1[[Project reference]:[Project reference]], $A18,Table1[[Standard Indicator ID Short]:[Standard Indicator ID Short]], V$4) &gt; 0, 1, 0)</f>
        <v>0</v>
      </c>
      <c r="W18" s="232">
        <f>IF(SUMIFS(Table1[[Result for year]:[Result for year]],Table1[[Project reference]:[Project reference]], $A18,Table1[[Standard Indicator ID Short]:[Standard Indicator ID Short]], W$4) &gt; 0, 1, 0)</f>
        <v>0</v>
      </c>
      <c r="X18" s="232">
        <f>IF(SUMIFS(Table1[[Result for year]:[Result for year]],Table1[[Project reference]:[Project reference]], $A18,Table1[[Standard Indicator ID Short]:[Standard Indicator ID Short]], X$4) &gt; 0, 1, 0)</f>
        <v>0</v>
      </c>
      <c r="Y18" s="137">
        <f>IF(SUMIFS(Table1[[Result for year]:[Result for year]],Table1[[Project reference]:[Project reference]], $A18,Table1[[Standard Indicator ID Short]:[Standard Indicator ID Short]], Y$4) &gt; 0, 1, 0)</f>
        <v>1</v>
      </c>
      <c r="Z18" s="232">
        <f>IF(SUMIFS(Table1[[Result for year]:[Result for year]],Table1[[Project reference]:[Project reference]], $A18,Table1[[Standard Indicator ID Short]:[Standard Indicator ID Short]], Z$4) &gt; 0, 1, 0)</f>
        <v>1</v>
      </c>
      <c r="AA18" s="232">
        <f>IF(SUMIFS(Table1[[Result for year]:[Result for year]],Table1[[Project reference]:[Project reference]], $A18,Table1[[Standard Indicator ID Short]:[Standard Indicator ID Short]], AA$4) &gt; 0, 1, 0)</f>
        <v>1</v>
      </c>
      <c r="AB18" s="232">
        <f>IF(SUMIFS(Table1[[Result for year]:[Result for year]],Table1[[Project reference]:[Project reference]], $A18,Table1[[Standard Indicator ID Short]:[Standard Indicator ID Short]], AB$4) &gt; 0, 1, 0)</f>
        <v>0</v>
      </c>
      <c r="AC18" s="232">
        <f>IF(SUMIFS(Table1[[Result for year]:[Result for year]],Table1[[Project reference]:[Project reference]], $A18,Table1[[Standard Indicator ID Short]:[Standard Indicator ID Short]], AC$4) &gt; 0, 1, 0)</f>
        <v>0</v>
      </c>
      <c r="AD18" s="232">
        <f>IF(SUMIFS(Table1[[Result for year]:[Result for year]],Table1[[Project reference]:[Project reference]], $A18,Table1[[Standard Indicator ID Short]:[Standard Indicator ID Short]], AD$4) &gt; 0, 1, 0)</f>
        <v>0</v>
      </c>
      <c r="AE18" s="232">
        <f>IF(SUMIFS(Table1[[Result for year]:[Result for year]],Table1[[Project reference]:[Project reference]], $A18,Table1[[Standard Indicator ID Short]:[Standard Indicator ID Short]], AE$4) &gt; 0, 1, 0)</f>
        <v>0</v>
      </c>
      <c r="AF18" s="232">
        <f>IF(SUMIFS(Table1[[Result for year]:[Result for year]],Table1[[Project reference]:[Project reference]], $A18,Table1[[Standard Indicator ID Short]:[Standard Indicator ID Short]], AF$4) &gt; 0, 1, 0)</f>
        <v>0</v>
      </c>
      <c r="AG18" s="232">
        <f>IF(SUMIFS(Table1[[Result for year]:[Result for year]],Table1[[Project reference]:[Project reference]], $A18,Table1[[Standard Indicator ID Short]:[Standard Indicator ID Short]], AG$4) &gt; 0, 1, 0)</f>
        <v>0</v>
      </c>
      <c r="AH18" s="232">
        <f>IF(SUMIFS(Table1[[Result for year]:[Result for year]],Table1[[Project reference]:[Project reference]], $A18,Table1[[Standard Indicator ID Short]:[Standard Indicator ID Short]], AH$4) &gt; 0, 1, 0)</f>
        <v>0</v>
      </c>
      <c r="AI18" s="232">
        <f>IF(SUMIFS(Table1[[Result for year]:[Result for year]],Table1[[Project reference]:[Project reference]], $A18,Table1[[Standard Indicator ID Short]:[Standard Indicator ID Short]], AI$4) &gt; 0, 1, 0)</f>
        <v>0</v>
      </c>
      <c r="AJ18" s="232">
        <f>IF(SUMIFS(Table1[[Result for year]:[Result for year]],Table1[[Project reference]:[Project reference]], $A18,Table1[[Standard Indicator ID Short]:[Standard Indicator ID Short]], AJ$4) &gt; 0, 1, 0)</f>
        <v>0</v>
      </c>
      <c r="AK18" s="232">
        <f>IF(SUMIFS(Table1[[Result for year]:[Result for year]],Table1[[Project reference]:[Project reference]], $A18,Table1[[Standard Indicator ID Short]:[Standard Indicator ID Short]], AK$4) &gt; 0, 1, 0)</f>
        <v>0</v>
      </c>
      <c r="AL18" s="232">
        <f>IF(SUMIFS(Table1[[Result for year]:[Result for year]],Table1[[Project reference]:[Project reference]], $A18,Table1[[Standard Indicator ID Short]:[Standard Indicator ID Short]], AL$4) &gt; 0, 1, 0)</f>
        <v>0</v>
      </c>
      <c r="AM18" s="232">
        <f>IF(SUMIFS(Table1[[Result for year]:[Result for year]],Table1[[Project reference]:[Project reference]], $A18,Table1[[Standard Indicator ID Short]:[Standard Indicator ID Short]], AM$4) &gt; 0, 1, 0)</f>
        <v>0</v>
      </c>
      <c r="AN18" s="232">
        <f>IF(SUMIFS(Table1[[Result for year]:[Result for year]],Table1[[Project reference]:[Project reference]], $A18,Table1[[Standard Indicator ID Short]:[Standard Indicator ID Short]], AN$4) &gt; 0, 1, 0)</f>
        <v>0</v>
      </c>
      <c r="AO18" s="232">
        <f>IF(SUMIFS(Table1[[Result for year]:[Result for year]],Table1[[Project reference]:[Project reference]], $A18,Table1[[Standard Indicator ID Short]:[Standard Indicator ID Short]], AO$4) &gt; 0, 1, 0)</f>
        <v>0</v>
      </c>
      <c r="AP18" s="232">
        <f>IF(SUMIFS(Table1[[Result for year]:[Result for year]],Table1[[Project reference]:[Project reference]], $A18,Table1[[Standard Indicator ID Short]:[Standard Indicator ID Short]], AP$4) &gt; 0, 1, 0)</f>
        <v>0</v>
      </c>
      <c r="AQ18" s="232">
        <f>IF(SUMIFS(Table1[[Result for year]:[Result for year]],Table1[[Project reference]:[Project reference]], $A18,Table1[[Standard Indicator ID Short]:[Standard Indicator ID Short]], AQ$4) &gt; 0, 1, 0)</f>
        <v>0</v>
      </c>
      <c r="AR18" s="137">
        <f>IF(SUMIFS(Table1[[Result for year]:[Result for year]],Table1[[Project reference]:[Project reference]], $A18,Table1[[Standard Indicator ID Short]:[Standard Indicator ID Short]], AR$4) &gt; 0, 1, 0)</f>
        <v>0</v>
      </c>
      <c r="AS18" s="232">
        <f>IF(SUMIFS(Table1[[Result for year]:[Result for year]],Table1[[Project reference]:[Project reference]], $A18,Table1[[Standard Indicator ID Short]:[Standard Indicator ID Short]], AS$4) &gt; 0, 1, 0)</f>
        <v>0</v>
      </c>
      <c r="AT18" s="232">
        <f>IF(SUMIFS(Table1[[Result for year]:[Result for year]],Table1[[Project reference]:[Project reference]], $A18,Table1[[Standard Indicator ID Short]:[Standard Indicator ID Short]], AT$4) &gt; 0, 1, 0)</f>
        <v>0</v>
      </c>
      <c r="AU18" s="232">
        <f>IF(SUMIFS(Table1[[Result for year]:[Result for year]],Table1[[Project reference]:[Project reference]], $A18,Table1[[Standard Indicator ID Short]:[Standard Indicator ID Short]], AU$4) &gt; 0, 1, 0)</f>
        <v>0</v>
      </c>
      <c r="AV18" s="232">
        <f>IF(SUMIFS(Table1[[Result for year]:[Result for year]],Table1[[Project reference]:[Project reference]], $A18,Table1[[Standard Indicator ID Short]:[Standard Indicator ID Short]], AV$4) &gt; 0, 1, 0)</f>
        <v>0</v>
      </c>
      <c r="AW18" s="232">
        <f>IF(SUMIFS(Table1[[Result for year]:[Result for year]],Table1[[Project reference]:[Project reference]], $A18,Table1[[Standard Indicator ID Short]:[Standard Indicator ID Short]], AW$4) &gt; 0, 1, 0)</f>
        <v>0</v>
      </c>
      <c r="AX18" s="232">
        <f>IF(SUMIFS(Table1[[Result for year]:[Result for year]],Table1[[Project reference]:[Project reference]], $A18,Table1[[Standard Indicator ID Short]:[Standard Indicator ID Short]], AX$4) &gt; 0, 1, 0)</f>
        <v>0</v>
      </c>
      <c r="AY18" s="232">
        <f>IF(SUMIFS(Table1[[Result for year]:[Result for year]],Table1[[Project reference]:[Project reference]], $A18,Table1[[Standard Indicator ID Short]:[Standard Indicator ID Short]], AY$4) &gt; 0, 1, 0)</f>
        <v>0</v>
      </c>
      <c r="AZ18" s="232">
        <f>IF(SUMIFS(Table1[[Result for year]:[Result for year]],Table1[[Project reference]:[Project reference]], $A18,Table1[[Standard Indicator ID Short]:[Standard Indicator ID Short]], AZ$4) &gt; 0, 1, 0)</f>
        <v>0</v>
      </c>
      <c r="BA18" s="232">
        <f>IF(SUMIFS(Table1[[Result for year]:[Result for year]],Table1[[Project reference]:[Project reference]], $A18,Table1[[Standard Indicator ID Short]:[Standard Indicator ID Short]], BA$4) &gt; 0, 1, 0)</f>
        <v>0</v>
      </c>
      <c r="BB18" s="232">
        <f>IF(SUMIFS(Table1[[Result for year]:[Result for year]],Table1[[Project reference]:[Project reference]], $A18,Table1[[Standard Indicator ID Short]:[Standard Indicator ID Short]], BB$4) &gt; 0, 1, 0)</f>
        <v>0</v>
      </c>
      <c r="BC18" s="232">
        <f>IF(SUMIFS(Table1[[Result for year]:[Result for year]],Table1[[Project reference]:[Project reference]], $A18,Table1[[Standard Indicator ID Short]:[Standard Indicator ID Short]], BC$4) &gt; 0, 1, 0)</f>
        <v>0</v>
      </c>
      <c r="BD18" s="232">
        <f>IF(SUMIFS(Table1[[Result for year]:[Result for year]],Table1[[Project reference]:[Project reference]], $A18,Table1[[Standard Indicator ID Short]:[Standard Indicator ID Short]], BD$4) &gt; 0, 1, 0)</f>
        <v>0</v>
      </c>
      <c r="BE18" s="232">
        <f>IF(SUMIFS(Table1[[Result for year]:[Result for year]],Table1[[Project reference]:[Project reference]], $A18,Table1[[Standard Indicator ID Short]:[Standard Indicator ID Short]], BE$4) &gt; 0, 1, 0)</f>
        <v>0</v>
      </c>
      <c r="BF18" s="232">
        <f>IF(SUMIFS(Table1[[Result for year]:[Result for year]],Table1[[Project reference]:[Project reference]], $A18,Table1[[Standard Indicator ID Short]:[Standard Indicator ID Short]], BF$4) &gt; 0, 1, 0)</f>
        <v>0</v>
      </c>
      <c r="BG18" s="138">
        <f>IF(SUMIFS(Table1[[Result for year]:[Result for year]],Table1[[Project reference]:[Project reference]], $A18,Table1[[Standard Indicator ID Short]:[Standard Indicator ID Short]], BG$4) &gt; 0, 1, 0)</f>
        <v>0</v>
      </c>
      <c r="BH18" s="137">
        <f>IF(SUMIFS(Table1[[Result for year]:[Result for year]],Table1[[Project reference]:[Project reference]], $A18,Table1[[Standard Indicator ID Short]:[Standard Indicator ID Short]], BH$4) &gt; 0, 1, 0)</f>
        <v>0</v>
      </c>
      <c r="BI18" s="232">
        <f>IF(SUMIFS(Table1[[Result for year]:[Result for year]],Table1[[Project reference]:[Project reference]], $A18,Table1[[Standard Indicator ID Short]:[Standard Indicator ID Short]], BI$4) &gt; 0, 1, 0)</f>
        <v>0</v>
      </c>
      <c r="BJ18" s="138">
        <f>IF(SUMIFS(Table1[[Result for year]:[Result for year]],Table1[[Project reference]:[Project reference]], $A18,Table1[[Standard Indicator ID Short]:[Standard Indicator ID Short]], BJ$4) &gt; 0, 1, 0)</f>
        <v>0</v>
      </c>
      <c r="BK18" s="144"/>
      <c r="BL18" s="79"/>
      <c r="BM18" s="148">
        <f t="shared" si="0"/>
        <v>3</v>
      </c>
      <c r="BN18" s="79"/>
      <c r="BO18" s="78"/>
    </row>
    <row r="19" spans="1:67" ht="14.25" customHeight="1" x14ac:dyDescent="0.25">
      <c r="A19" s="170" t="s">
        <v>318</v>
      </c>
      <c r="B19" s="173" t="s">
        <v>416</v>
      </c>
      <c r="C19" s="137">
        <f>IF(SUMIFS(Table1[[Result for year]:[Result for year]],Table1[[Project reference]:[Project reference]], $A19,Table1[[Standard Indicator ID Short]:[Standard Indicator ID Short]], C$4) &gt; 0, 1, 0)</f>
        <v>0</v>
      </c>
      <c r="D19" s="232">
        <f>IF(SUMIFS(Table1[[Result for year]:[Result for year]],Table1[[Project reference]:[Project reference]], $A19,Table1[[Standard Indicator ID Short]:[Standard Indicator ID Short]], D$4) &gt; 0, 1, 0)</f>
        <v>1</v>
      </c>
      <c r="E19" s="232">
        <f>IF(SUMIFS(Table1[[Result for year]:[Result for year]],Table1[[Project reference]:[Project reference]], $A19,Table1[[Standard Indicator ID Short]:[Standard Indicator ID Short]], E$4) &gt; 0, 1, 0)</f>
        <v>1</v>
      </c>
      <c r="F19" s="232">
        <f>IF(SUMIFS(Table1[[Result for year]:[Result for year]],Table1[[Project reference]:[Project reference]], $A19,Table1[[Standard Indicator ID Short]:[Standard Indicator ID Short]], F$4) &gt; 0, 1, 0)</f>
        <v>0</v>
      </c>
      <c r="G19" s="232">
        <f>IF(SUMIFS(Table1[[Result for year]:[Result for year]],Table1[[Project reference]:[Project reference]], $A19,Table1[[Standard Indicator ID Short]:[Standard Indicator ID Short]], G$4) &gt; 0, 1, 0)</f>
        <v>0</v>
      </c>
      <c r="H19" s="232">
        <f>IF(SUMIFS(Table1[[Result for year]:[Result for year]],Table1[[Project reference]:[Project reference]], $A19,Table1[[Standard Indicator ID Short]:[Standard Indicator ID Short]], H$4) &gt; 0, 1, 0)</f>
        <v>0</v>
      </c>
      <c r="I19" s="232">
        <f>IF(SUMIFS(Table1[[Result for year]:[Result for year]],Table1[[Project reference]:[Project reference]], $A19,Table1[[Standard Indicator ID Short]:[Standard Indicator ID Short]], I$4) &gt; 0, 1, 0)</f>
        <v>0</v>
      </c>
      <c r="J19" s="232">
        <f>IF(SUMIFS(Table1[[Result for year]:[Result for year]],Table1[[Project reference]:[Project reference]], $A19,Table1[[Standard Indicator ID Short]:[Standard Indicator ID Short]], J$4) &gt; 0, 1, 0)</f>
        <v>0</v>
      </c>
      <c r="K19" s="232">
        <f>IF(SUMIFS(Table1[[Result for year]:[Result for year]],Table1[[Project reference]:[Project reference]], $A19,Table1[[Standard Indicator ID Short]:[Standard Indicator ID Short]], K$4) &gt; 0, 1, 0)</f>
        <v>0</v>
      </c>
      <c r="L19" s="232">
        <f>IF(SUMIFS(Table1[[Result for year]:[Result for year]],Table1[[Project reference]:[Project reference]], $A19,Table1[[Standard Indicator ID Short]:[Standard Indicator ID Short]], L$4) &gt; 0, 1, 0)</f>
        <v>0</v>
      </c>
      <c r="M19" s="137">
        <f>IF(SUMIFS(Table1[[Result for year]:[Result for year]],Table1[[Project reference]:[Project reference]], $A19,Table1[[Standard Indicator ID Short]:[Standard Indicator ID Short]], M$4) &gt; 0, 1, 0)</f>
        <v>0</v>
      </c>
      <c r="N19" s="232">
        <f>IF(SUMIFS(Table1[[Result for year]:[Result for year]],Table1[[Project reference]:[Project reference]], $A19,Table1[[Standard Indicator ID Short]:[Standard Indicator ID Short]], N$4) &gt; 0, 1, 0)</f>
        <v>0</v>
      </c>
      <c r="O19" s="232">
        <f>IF(SUMIFS(Table1[[Result for year]:[Result for year]],Table1[[Project reference]:[Project reference]], $A19,Table1[[Standard Indicator ID Short]:[Standard Indicator ID Short]], O$4) &gt; 0, 1, 0)</f>
        <v>0</v>
      </c>
      <c r="P19" s="232">
        <f>IF(SUMIFS(Table1[[Result for year]:[Result for year]],Table1[[Project reference]:[Project reference]], $A19,Table1[[Standard Indicator ID Short]:[Standard Indicator ID Short]], P$4) &gt; 0, 1, 0)</f>
        <v>0</v>
      </c>
      <c r="Q19" s="232">
        <f>IF(SUMIFS(Table1[[Result for year]:[Result for year]],Table1[[Project reference]:[Project reference]], $A19,Table1[[Standard Indicator ID Short]:[Standard Indicator ID Short]], Q$4) &gt; 0, 1, 0)</f>
        <v>0</v>
      </c>
      <c r="R19" s="232">
        <f>IF(SUMIFS(Table1[[Result for year]:[Result for year]],Table1[[Project reference]:[Project reference]], $A19,Table1[[Standard Indicator ID Short]:[Standard Indicator ID Short]], R$4) &gt; 0, 1, 0)</f>
        <v>0</v>
      </c>
      <c r="S19" s="232">
        <f>IF(SUMIFS(Table1[[Result for year]:[Result for year]],Table1[[Project reference]:[Project reference]], $A19,Table1[[Standard Indicator ID Short]:[Standard Indicator ID Short]], S$4) &gt; 0, 1, 0)</f>
        <v>0</v>
      </c>
      <c r="T19" s="232">
        <f>IF(SUMIFS(Table1[[Result for year]:[Result for year]],Table1[[Project reference]:[Project reference]], $A19,Table1[[Standard Indicator ID Short]:[Standard Indicator ID Short]], T$4) &gt; 0, 1, 0)</f>
        <v>0</v>
      </c>
      <c r="U19" s="232">
        <f>IF(SUMIFS(Table1[[Result for year]:[Result for year]],Table1[[Project reference]:[Project reference]], $A19,Table1[[Standard Indicator ID Short]:[Standard Indicator ID Short]], U$4) &gt; 0, 1, 0)</f>
        <v>0</v>
      </c>
      <c r="V19" s="232">
        <f>IF(SUMIFS(Table1[[Result for year]:[Result for year]],Table1[[Project reference]:[Project reference]], $A19,Table1[[Standard Indicator ID Short]:[Standard Indicator ID Short]], V$4) &gt; 0, 1, 0)</f>
        <v>0</v>
      </c>
      <c r="W19" s="232">
        <f>IF(SUMIFS(Table1[[Result for year]:[Result for year]],Table1[[Project reference]:[Project reference]], $A19,Table1[[Standard Indicator ID Short]:[Standard Indicator ID Short]], W$4) &gt; 0, 1, 0)</f>
        <v>0</v>
      </c>
      <c r="X19" s="232">
        <f>IF(SUMIFS(Table1[[Result for year]:[Result for year]],Table1[[Project reference]:[Project reference]], $A19,Table1[[Standard Indicator ID Short]:[Standard Indicator ID Short]], X$4) &gt; 0, 1, 0)</f>
        <v>0</v>
      </c>
      <c r="Y19" s="137">
        <f>IF(SUMIFS(Table1[[Result for year]:[Result for year]],Table1[[Project reference]:[Project reference]], $A19,Table1[[Standard Indicator ID Short]:[Standard Indicator ID Short]], Y$4) &gt; 0, 1, 0)</f>
        <v>0</v>
      </c>
      <c r="Z19" s="232">
        <f>IF(SUMIFS(Table1[[Result for year]:[Result for year]],Table1[[Project reference]:[Project reference]], $A19,Table1[[Standard Indicator ID Short]:[Standard Indicator ID Short]], Z$4) &gt; 0, 1, 0)</f>
        <v>0</v>
      </c>
      <c r="AA19" s="232">
        <f>IF(SUMIFS(Table1[[Result for year]:[Result for year]],Table1[[Project reference]:[Project reference]], $A19,Table1[[Standard Indicator ID Short]:[Standard Indicator ID Short]], AA$4) &gt; 0, 1, 0)</f>
        <v>0</v>
      </c>
      <c r="AB19" s="232">
        <f>IF(SUMIFS(Table1[[Result for year]:[Result for year]],Table1[[Project reference]:[Project reference]], $A19,Table1[[Standard Indicator ID Short]:[Standard Indicator ID Short]], AB$4) &gt; 0, 1, 0)</f>
        <v>0</v>
      </c>
      <c r="AC19" s="232">
        <f>IF(SUMIFS(Table1[[Result for year]:[Result for year]],Table1[[Project reference]:[Project reference]], $A19,Table1[[Standard Indicator ID Short]:[Standard Indicator ID Short]], AC$4) &gt; 0, 1, 0)</f>
        <v>1</v>
      </c>
      <c r="AD19" s="232">
        <f>IF(SUMIFS(Table1[[Result for year]:[Result for year]],Table1[[Project reference]:[Project reference]], $A19,Table1[[Standard Indicator ID Short]:[Standard Indicator ID Short]], AD$4) &gt; 0, 1, 0)</f>
        <v>0</v>
      </c>
      <c r="AE19" s="232">
        <f>IF(SUMIFS(Table1[[Result for year]:[Result for year]],Table1[[Project reference]:[Project reference]], $A19,Table1[[Standard Indicator ID Short]:[Standard Indicator ID Short]], AE$4) &gt; 0, 1, 0)</f>
        <v>0</v>
      </c>
      <c r="AF19" s="232">
        <f>IF(SUMIFS(Table1[[Result for year]:[Result for year]],Table1[[Project reference]:[Project reference]], $A19,Table1[[Standard Indicator ID Short]:[Standard Indicator ID Short]], AF$4) &gt; 0, 1, 0)</f>
        <v>0</v>
      </c>
      <c r="AG19" s="232">
        <f>IF(SUMIFS(Table1[[Result for year]:[Result for year]],Table1[[Project reference]:[Project reference]], $A19,Table1[[Standard Indicator ID Short]:[Standard Indicator ID Short]], AG$4) &gt; 0, 1, 0)</f>
        <v>0</v>
      </c>
      <c r="AH19" s="232">
        <f>IF(SUMIFS(Table1[[Result for year]:[Result for year]],Table1[[Project reference]:[Project reference]], $A19,Table1[[Standard Indicator ID Short]:[Standard Indicator ID Short]], AH$4) &gt; 0, 1, 0)</f>
        <v>0</v>
      </c>
      <c r="AI19" s="232">
        <f>IF(SUMIFS(Table1[[Result for year]:[Result for year]],Table1[[Project reference]:[Project reference]], $A19,Table1[[Standard Indicator ID Short]:[Standard Indicator ID Short]], AI$4) &gt; 0, 1, 0)</f>
        <v>0</v>
      </c>
      <c r="AJ19" s="232">
        <f>IF(SUMIFS(Table1[[Result for year]:[Result for year]],Table1[[Project reference]:[Project reference]], $A19,Table1[[Standard Indicator ID Short]:[Standard Indicator ID Short]], AJ$4) &gt; 0, 1, 0)</f>
        <v>0</v>
      </c>
      <c r="AK19" s="232">
        <f>IF(SUMIFS(Table1[[Result for year]:[Result for year]],Table1[[Project reference]:[Project reference]], $A19,Table1[[Standard Indicator ID Short]:[Standard Indicator ID Short]], AK$4) &gt; 0, 1, 0)</f>
        <v>0</v>
      </c>
      <c r="AL19" s="232">
        <f>IF(SUMIFS(Table1[[Result for year]:[Result for year]],Table1[[Project reference]:[Project reference]], $A19,Table1[[Standard Indicator ID Short]:[Standard Indicator ID Short]], AL$4) &gt; 0, 1, 0)</f>
        <v>0</v>
      </c>
      <c r="AM19" s="232">
        <f>IF(SUMIFS(Table1[[Result for year]:[Result for year]],Table1[[Project reference]:[Project reference]], $A19,Table1[[Standard Indicator ID Short]:[Standard Indicator ID Short]], AM$4) &gt; 0, 1, 0)</f>
        <v>0</v>
      </c>
      <c r="AN19" s="232">
        <f>IF(SUMIFS(Table1[[Result for year]:[Result for year]],Table1[[Project reference]:[Project reference]], $A19,Table1[[Standard Indicator ID Short]:[Standard Indicator ID Short]], AN$4) &gt; 0, 1, 0)</f>
        <v>0</v>
      </c>
      <c r="AO19" s="232">
        <f>IF(SUMIFS(Table1[[Result for year]:[Result for year]],Table1[[Project reference]:[Project reference]], $A19,Table1[[Standard Indicator ID Short]:[Standard Indicator ID Short]], AO$4) &gt; 0, 1, 0)</f>
        <v>0</v>
      </c>
      <c r="AP19" s="232">
        <f>IF(SUMIFS(Table1[[Result for year]:[Result for year]],Table1[[Project reference]:[Project reference]], $A19,Table1[[Standard Indicator ID Short]:[Standard Indicator ID Short]], AP$4) &gt; 0, 1, 0)</f>
        <v>0</v>
      </c>
      <c r="AQ19" s="232">
        <f>IF(SUMIFS(Table1[[Result for year]:[Result for year]],Table1[[Project reference]:[Project reference]], $A19,Table1[[Standard Indicator ID Short]:[Standard Indicator ID Short]], AQ$4) &gt; 0, 1, 0)</f>
        <v>0</v>
      </c>
      <c r="AR19" s="137">
        <f>IF(SUMIFS(Table1[[Result for year]:[Result for year]],Table1[[Project reference]:[Project reference]], $A19,Table1[[Standard Indicator ID Short]:[Standard Indicator ID Short]], AR$4) &gt; 0, 1, 0)</f>
        <v>0</v>
      </c>
      <c r="AS19" s="232">
        <f>IF(SUMIFS(Table1[[Result for year]:[Result for year]],Table1[[Project reference]:[Project reference]], $A19,Table1[[Standard Indicator ID Short]:[Standard Indicator ID Short]], AS$4) &gt; 0, 1, 0)</f>
        <v>0</v>
      </c>
      <c r="AT19" s="232">
        <f>IF(SUMIFS(Table1[[Result for year]:[Result for year]],Table1[[Project reference]:[Project reference]], $A19,Table1[[Standard Indicator ID Short]:[Standard Indicator ID Short]], AT$4) &gt; 0, 1, 0)</f>
        <v>0</v>
      </c>
      <c r="AU19" s="232">
        <f>IF(SUMIFS(Table1[[Result for year]:[Result for year]],Table1[[Project reference]:[Project reference]], $A19,Table1[[Standard Indicator ID Short]:[Standard Indicator ID Short]], AU$4) &gt; 0, 1, 0)</f>
        <v>0</v>
      </c>
      <c r="AV19" s="232">
        <f>IF(SUMIFS(Table1[[Result for year]:[Result for year]],Table1[[Project reference]:[Project reference]], $A19,Table1[[Standard Indicator ID Short]:[Standard Indicator ID Short]], AV$4) &gt; 0, 1, 0)</f>
        <v>0</v>
      </c>
      <c r="AW19" s="232">
        <f>IF(SUMIFS(Table1[[Result for year]:[Result for year]],Table1[[Project reference]:[Project reference]], $A19,Table1[[Standard Indicator ID Short]:[Standard Indicator ID Short]], AW$4) &gt; 0, 1, 0)</f>
        <v>0</v>
      </c>
      <c r="AX19" s="232">
        <f>IF(SUMIFS(Table1[[Result for year]:[Result for year]],Table1[[Project reference]:[Project reference]], $A19,Table1[[Standard Indicator ID Short]:[Standard Indicator ID Short]], AX$4) &gt; 0, 1, 0)</f>
        <v>0</v>
      </c>
      <c r="AY19" s="232">
        <f>IF(SUMIFS(Table1[[Result for year]:[Result for year]],Table1[[Project reference]:[Project reference]], $A19,Table1[[Standard Indicator ID Short]:[Standard Indicator ID Short]], AY$4) &gt; 0, 1, 0)</f>
        <v>0</v>
      </c>
      <c r="AZ19" s="232">
        <f>IF(SUMIFS(Table1[[Result for year]:[Result for year]],Table1[[Project reference]:[Project reference]], $A19,Table1[[Standard Indicator ID Short]:[Standard Indicator ID Short]], AZ$4) &gt; 0, 1, 0)</f>
        <v>0</v>
      </c>
      <c r="BA19" s="232">
        <f>IF(SUMIFS(Table1[[Result for year]:[Result for year]],Table1[[Project reference]:[Project reference]], $A19,Table1[[Standard Indicator ID Short]:[Standard Indicator ID Short]], BA$4) &gt; 0, 1, 0)</f>
        <v>0</v>
      </c>
      <c r="BB19" s="232">
        <f>IF(SUMIFS(Table1[[Result for year]:[Result for year]],Table1[[Project reference]:[Project reference]], $A19,Table1[[Standard Indicator ID Short]:[Standard Indicator ID Short]], BB$4) &gt; 0, 1, 0)</f>
        <v>0</v>
      </c>
      <c r="BC19" s="232">
        <f>IF(SUMIFS(Table1[[Result for year]:[Result for year]],Table1[[Project reference]:[Project reference]], $A19,Table1[[Standard Indicator ID Short]:[Standard Indicator ID Short]], BC$4) &gt; 0, 1, 0)</f>
        <v>0</v>
      </c>
      <c r="BD19" s="232">
        <f>IF(SUMIFS(Table1[[Result for year]:[Result for year]],Table1[[Project reference]:[Project reference]], $A19,Table1[[Standard Indicator ID Short]:[Standard Indicator ID Short]], BD$4) &gt; 0, 1, 0)</f>
        <v>0</v>
      </c>
      <c r="BE19" s="232">
        <f>IF(SUMIFS(Table1[[Result for year]:[Result for year]],Table1[[Project reference]:[Project reference]], $A19,Table1[[Standard Indicator ID Short]:[Standard Indicator ID Short]], BE$4) &gt; 0, 1, 0)</f>
        <v>0</v>
      </c>
      <c r="BF19" s="232">
        <f>IF(SUMIFS(Table1[[Result for year]:[Result for year]],Table1[[Project reference]:[Project reference]], $A19,Table1[[Standard Indicator ID Short]:[Standard Indicator ID Short]], BF$4) &gt; 0, 1, 0)</f>
        <v>0</v>
      </c>
      <c r="BG19" s="138">
        <f>IF(SUMIFS(Table1[[Result for year]:[Result for year]],Table1[[Project reference]:[Project reference]], $A19,Table1[[Standard Indicator ID Short]:[Standard Indicator ID Short]], BG$4) &gt; 0, 1, 0)</f>
        <v>0</v>
      </c>
      <c r="BH19" s="137">
        <f>IF(SUMIFS(Table1[[Result for year]:[Result for year]],Table1[[Project reference]:[Project reference]], $A19,Table1[[Standard Indicator ID Short]:[Standard Indicator ID Short]], BH$4) &gt; 0, 1, 0)</f>
        <v>0</v>
      </c>
      <c r="BI19" s="232">
        <f>IF(SUMIFS(Table1[[Result for year]:[Result for year]],Table1[[Project reference]:[Project reference]], $A19,Table1[[Standard Indicator ID Short]:[Standard Indicator ID Short]], BI$4) &gt; 0, 1, 0)</f>
        <v>0</v>
      </c>
      <c r="BJ19" s="138">
        <f>IF(SUMIFS(Table1[[Result for year]:[Result for year]],Table1[[Project reference]:[Project reference]], $A19,Table1[[Standard Indicator ID Short]:[Standard Indicator ID Short]], BJ$4) &gt; 0, 1, 0)</f>
        <v>0</v>
      </c>
      <c r="BK19" s="144"/>
      <c r="BL19" s="79"/>
      <c r="BM19" s="148">
        <f t="shared" si="0"/>
        <v>3</v>
      </c>
      <c r="BN19" s="79"/>
      <c r="BO19" s="78"/>
    </row>
    <row r="20" spans="1:67" ht="14.25" customHeight="1" x14ac:dyDescent="0.25">
      <c r="A20" s="170" t="s">
        <v>319</v>
      </c>
      <c r="B20" s="173" t="s">
        <v>417</v>
      </c>
      <c r="C20" s="137">
        <f>IF(SUMIFS(Table1[[Result for year]:[Result for year]],Table1[[Project reference]:[Project reference]], $A20,Table1[[Standard Indicator ID Short]:[Standard Indicator ID Short]], C$4) &gt; 0, 1, 0)</f>
        <v>0</v>
      </c>
      <c r="D20" s="232">
        <f>IF(SUMIFS(Table1[[Result for year]:[Result for year]],Table1[[Project reference]:[Project reference]], $A20,Table1[[Standard Indicator ID Short]:[Standard Indicator ID Short]], D$4) &gt; 0, 1, 0)</f>
        <v>0</v>
      </c>
      <c r="E20" s="232">
        <f>IF(SUMIFS(Table1[[Result for year]:[Result for year]],Table1[[Project reference]:[Project reference]], $A20,Table1[[Standard Indicator ID Short]:[Standard Indicator ID Short]], E$4) &gt; 0, 1, 0)</f>
        <v>1</v>
      </c>
      <c r="F20" s="232">
        <f>IF(SUMIFS(Table1[[Result for year]:[Result for year]],Table1[[Project reference]:[Project reference]], $A20,Table1[[Standard Indicator ID Short]:[Standard Indicator ID Short]], F$4) &gt; 0, 1, 0)</f>
        <v>0</v>
      </c>
      <c r="G20" s="232">
        <f>IF(SUMIFS(Table1[[Result for year]:[Result for year]],Table1[[Project reference]:[Project reference]], $A20,Table1[[Standard Indicator ID Short]:[Standard Indicator ID Short]], G$4) &gt; 0, 1, 0)</f>
        <v>0</v>
      </c>
      <c r="H20" s="232">
        <f>IF(SUMIFS(Table1[[Result for year]:[Result for year]],Table1[[Project reference]:[Project reference]], $A20,Table1[[Standard Indicator ID Short]:[Standard Indicator ID Short]], H$4) &gt; 0, 1, 0)</f>
        <v>0</v>
      </c>
      <c r="I20" s="232">
        <f>IF(SUMIFS(Table1[[Result for year]:[Result for year]],Table1[[Project reference]:[Project reference]], $A20,Table1[[Standard Indicator ID Short]:[Standard Indicator ID Short]], I$4) &gt; 0, 1, 0)</f>
        <v>0</v>
      </c>
      <c r="J20" s="232">
        <f>IF(SUMIFS(Table1[[Result for year]:[Result for year]],Table1[[Project reference]:[Project reference]], $A20,Table1[[Standard Indicator ID Short]:[Standard Indicator ID Short]], J$4) &gt; 0, 1, 0)</f>
        <v>0</v>
      </c>
      <c r="K20" s="232">
        <f>IF(SUMIFS(Table1[[Result for year]:[Result for year]],Table1[[Project reference]:[Project reference]], $A20,Table1[[Standard Indicator ID Short]:[Standard Indicator ID Short]], K$4) &gt; 0, 1, 0)</f>
        <v>0</v>
      </c>
      <c r="L20" s="232">
        <f>IF(SUMIFS(Table1[[Result for year]:[Result for year]],Table1[[Project reference]:[Project reference]], $A20,Table1[[Standard Indicator ID Short]:[Standard Indicator ID Short]], L$4) &gt; 0, 1, 0)</f>
        <v>0</v>
      </c>
      <c r="M20" s="137">
        <f>IF(SUMIFS(Table1[[Result for year]:[Result for year]],Table1[[Project reference]:[Project reference]], $A20,Table1[[Standard Indicator ID Short]:[Standard Indicator ID Short]], M$4) &gt; 0, 1, 0)</f>
        <v>0</v>
      </c>
      <c r="N20" s="232">
        <f>IF(SUMIFS(Table1[[Result for year]:[Result for year]],Table1[[Project reference]:[Project reference]], $A20,Table1[[Standard Indicator ID Short]:[Standard Indicator ID Short]], N$4) &gt; 0, 1, 0)</f>
        <v>0</v>
      </c>
      <c r="O20" s="232">
        <f>IF(SUMIFS(Table1[[Result for year]:[Result for year]],Table1[[Project reference]:[Project reference]], $A20,Table1[[Standard Indicator ID Short]:[Standard Indicator ID Short]], O$4) &gt; 0, 1, 0)</f>
        <v>0</v>
      </c>
      <c r="P20" s="232">
        <f>IF(SUMIFS(Table1[[Result for year]:[Result for year]],Table1[[Project reference]:[Project reference]], $A20,Table1[[Standard Indicator ID Short]:[Standard Indicator ID Short]], P$4) &gt; 0, 1, 0)</f>
        <v>0</v>
      </c>
      <c r="Q20" s="232">
        <f>IF(SUMIFS(Table1[[Result for year]:[Result for year]],Table1[[Project reference]:[Project reference]], $A20,Table1[[Standard Indicator ID Short]:[Standard Indicator ID Short]], Q$4) &gt; 0, 1, 0)</f>
        <v>1</v>
      </c>
      <c r="R20" s="232">
        <f>IF(SUMIFS(Table1[[Result for year]:[Result for year]],Table1[[Project reference]:[Project reference]], $A20,Table1[[Standard Indicator ID Short]:[Standard Indicator ID Short]], R$4) &gt; 0, 1, 0)</f>
        <v>0</v>
      </c>
      <c r="S20" s="232">
        <f>IF(SUMIFS(Table1[[Result for year]:[Result for year]],Table1[[Project reference]:[Project reference]], $A20,Table1[[Standard Indicator ID Short]:[Standard Indicator ID Short]], S$4) &gt; 0, 1, 0)</f>
        <v>0</v>
      </c>
      <c r="T20" s="232">
        <f>IF(SUMIFS(Table1[[Result for year]:[Result for year]],Table1[[Project reference]:[Project reference]], $A20,Table1[[Standard Indicator ID Short]:[Standard Indicator ID Short]], T$4) &gt; 0, 1, 0)</f>
        <v>0</v>
      </c>
      <c r="U20" s="232">
        <f>IF(SUMIFS(Table1[[Result for year]:[Result for year]],Table1[[Project reference]:[Project reference]], $A20,Table1[[Standard Indicator ID Short]:[Standard Indicator ID Short]], U$4) &gt; 0, 1, 0)</f>
        <v>0</v>
      </c>
      <c r="V20" s="232">
        <f>IF(SUMIFS(Table1[[Result for year]:[Result for year]],Table1[[Project reference]:[Project reference]], $A20,Table1[[Standard Indicator ID Short]:[Standard Indicator ID Short]], V$4) &gt; 0, 1, 0)</f>
        <v>0</v>
      </c>
      <c r="W20" s="232">
        <f>IF(SUMIFS(Table1[[Result for year]:[Result for year]],Table1[[Project reference]:[Project reference]], $A20,Table1[[Standard Indicator ID Short]:[Standard Indicator ID Short]], W$4) &gt; 0, 1, 0)</f>
        <v>0</v>
      </c>
      <c r="X20" s="232">
        <f>IF(SUMIFS(Table1[[Result for year]:[Result for year]],Table1[[Project reference]:[Project reference]], $A20,Table1[[Standard Indicator ID Short]:[Standard Indicator ID Short]], X$4) &gt; 0, 1, 0)</f>
        <v>0</v>
      </c>
      <c r="Y20" s="137">
        <f>IF(SUMIFS(Table1[[Result for year]:[Result for year]],Table1[[Project reference]:[Project reference]], $A20,Table1[[Standard Indicator ID Short]:[Standard Indicator ID Short]], Y$4) &gt; 0, 1, 0)</f>
        <v>0</v>
      </c>
      <c r="Z20" s="232">
        <f>IF(SUMIFS(Table1[[Result for year]:[Result for year]],Table1[[Project reference]:[Project reference]], $A20,Table1[[Standard Indicator ID Short]:[Standard Indicator ID Short]], Z$4) &gt; 0, 1, 0)</f>
        <v>1</v>
      </c>
      <c r="AA20" s="232">
        <f>IF(SUMIFS(Table1[[Result for year]:[Result for year]],Table1[[Project reference]:[Project reference]], $A20,Table1[[Standard Indicator ID Short]:[Standard Indicator ID Short]], AA$4) &gt; 0, 1, 0)</f>
        <v>0</v>
      </c>
      <c r="AB20" s="232">
        <f>IF(SUMIFS(Table1[[Result for year]:[Result for year]],Table1[[Project reference]:[Project reference]], $A20,Table1[[Standard Indicator ID Short]:[Standard Indicator ID Short]], AB$4) &gt; 0, 1, 0)</f>
        <v>0</v>
      </c>
      <c r="AC20" s="232">
        <f>IF(SUMIFS(Table1[[Result for year]:[Result for year]],Table1[[Project reference]:[Project reference]], $A20,Table1[[Standard Indicator ID Short]:[Standard Indicator ID Short]], AC$4) &gt; 0, 1, 0)</f>
        <v>0</v>
      </c>
      <c r="AD20" s="232">
        <f>IF(SUMIFS(Table1[[Result for year]:[Result for year]],Table1[[Project reference]:[Project reference]], $A20,Table1[[Standard Indicator ID Short]:[Standard Indicator ID Short]], AD$4) &gt; 0, 1, 0)</f>
        <v>0</v>
      </c>
      <c r="AE20" s="232">
        <f>IF(SUMIFS(Table1[[Result for year]:[Result for year]],Table1[[Project reference]:[Project reference]], $A20,Table1[[Standard Indicator ID Short]:[Standard Indicator ID Short]], AE$4) &gt; 0, 1, 0)</f>
        <v>0</v>
      </c>
      <c r="AF20" s="232">
        <f>IF(SUMIFS(Table1[[Result for year]:[Result for year]],Table1[[Project reference]:[Project reference]], $A20,Table1[[Standard Indicator ID Short]:[Standard Indicator ID Short]], AF$4) &gt; 0, 1, 0)</f>
        <v>0</v>
      </c>
      <c r="AG20" s="232">
        <f>IF(SUMIFS(Table1[[Result for year]:[Result for year]],Table1[[Project reference]:[Project reference]], $A20,Table1[[Standard Indicator ID Short]:[Standard Indicator ID Short]], AG$4) &gt; 0, 1, 0)</f>
        <v>0</v>
      </c>
      <c r="AH20" s="232">
        <f>IF(SUMIFS(Table1[[Result for year]:[Result for year]],Table1[[Project reference]:[Project reference]], $A20,Table1[[Standard Indicator ID Short]:[Standard Indicator ID Short]], AH$4) &gt; 0, 1, 0)</f>
        <v>0</v>
      </c>
      <c r="AI20" s="232">
        <f>IF(SUMIFS(Table1[[Result for year]:[Result for year]],Table1[[Project reference]:[Project reference]], $A20,Table1[[Standard Indicator ID Short]:[Standard Indicator ID Short]], AI$4) &gt; 0, 1, 0)</f>
        <v>0</v>
      </c>
      <c r="AJ20" s="232">
        <f>IF(SUMIFS(Table1[[Result for year]:[Result for year]],Table1[[Project reference]:[Project reference]], $A20,Table1[[Standard Indicator ID Short]:[Standard Indicator ID Short]], AJ$4) &gt; 0, 1, 0)</f>
        <v>0</v>
      </c>
      <c r="AK20" s="232">
        <f>IF(SUMIFS(Table1[[Result for year]:[Result for year]],Table1[[Project reference]:[Project reference]], $A20,Table1[[Standard Indicator ID Short]:[Standard Indicator ID Short]], AK$4) &gt; 0, 1, 0)</f>
        <v>0</v>
      </c>
      <c r="AL20" s="232">
        <f>IF(SUMIFS(Table1[[Result for year]:[Result for year]],Table1[[Project reference]:[Project reference]], $A20,Table1[[Standard Indicator ID Short]:[Standard Indicator ID Short]], AL$4) &gt; 0, 1, 0)</f>
        <v>0</v>
      </c>
      <c r="AM20" s="232">
        <f>IF(SUMIFS(Table1[[Result for year]:[Result for year]],Table1[[Project reference]:[Project reference]], $A20,Table1[[Standard Indicator ID Short]:[Standard Indicator ID Short]], AM$4) &gt; 0, 1, 0)</f>
        <v>0</v>
      </c>
      <c r="AN20" s="232">
        <f>IF(SUMIFS(Table1[[Result for year]:[Result for year]],Table1[[Project reference]:[Project reference]], $A20,Table1[[Standard Indicator ID Short]:[Standard Indicator ID Short]], AN$4) &gt; 0, 1, 0)</f>
        <v>0</v>
      </c>
      <c r="AO20" s="232">
        <f>IF(SUMIFS(Table1[[Result for year]:[Result for year]],Table1[[Project reference]:[Project reference]], $A20,Table1[[Standard Indicator ID Short]:[Standard Indicator ID Short]], AO$4) &gt; 0, 1, 0)</f>
        <v>0</v>
      </c>
      <c r="AP20" s="232">
        <f>IF(SUMIFS(Table1[[Result for year]:[Result for year]],Table1[[Project reference]:[Project reference]], $A20,Table1[[Standard Indicator ID Short]:[Standard Indicator ID Short]], AP$4) &gt; 0, 1, 0)</f>
        <v>0</v>
      </c>
      <c r="AQ20" s="232">
        <f>IF(SUMIFS(Table1[[Result for year]:[Result for year]],Table1[[Project reference]:[Project reference]], $A20,Table1[[Standard Indicator ID Short]:[Standard Indicator ID Short]], AQ$4) &gt; 0, 1, 0)</f>
        <v>0</v>
      </c>
      <c r="AR20" s="137">
        <f>IF(SUMIFS(Table1[[Result for year]:[Result for year]],Table1[[Project reference]:[Project reference]], $A20,Table1[[Standard Indicator ID Short]:[Standard Indicator ID Short]], AR$4) &gt; 0, 1, 0)</f>
        <v>0</v>
      </c>
      <c r="AS20" s="232">
        <f>IF(SUMIFS(Table1[[Result for year]:[Result for year]],Table1[[Project reference]:[Project reference]], $A20,Table1[[Standard Indicator ID Short]:[Standard Indicator ID Short]], AS$4) &gt; 0, 1, 0)</f>
        <v>0</v>
      </c>
      <c r="AT20" s="232">
        <f>IF(SUMIFS(Table1[[Result for year]:[Result for year]],Table1[[Project reference]:[Project reference]], $A20,Table1[[Standard Indicator ID Short]:[Standard Indicator ID Short]], AT$4) &gt; 0, 1, 0)</f>
        <v>0</v>
      </c>
      <c r="AU20" s="232">
        <f>IF(SUMIFS(Table1[[Result for year]:[Result for year]],Table1[[Project reference]:[Project reference]], $A20,Table1[[Standard Indicator ID Short]:[Standard Indicator ID Short]], AU$4) &gt; 0, 1, 0)</f>
        <v>0</v>
      </c>
      <c r="AV20" s="232">
        <f>IF(SUMIFS(Table1[[Result for year]:[Result for year]],Table1[[Project reference]:[Project reference]], $A20,Table1[[Standard Indicator ID Short]:[Standard Indicator ID Short]], AV$4) &gt; 0, 1, 0)</f>
        <v>0</v>
      </c>
      <c r="AW20" s="232">
        <f>IF(SUMIFS(Table1[[Result for year]:[Result for year]],Table1[[Project reference]:[Project reference]], $A20,Table1[[Standard Indicator ID Short]:[Standard Indicator ID Short]], AW$4) &gt; 0, 1, 0)</f>
        <v>0</v>
      </c>
      <c r="AX20" s="232">
        <f>IF(SUMIFS(Table1[[Result for year]:[Result for year]],Table1[[Project reference]:[Project reference]], $A20,Table1[[Standard Indicator ID Short]:[Standard Indicator ID Short]], AX$4) &gt; 0, 1, 0)</f>
        <v>0</v>
      </c>
      <c r="AY20" s="232">
        <f>IF(SUMIFS(Table1[[Result for year]:[Result for year]],Table1[[Project reference]:[Project reference]], $A20,Table1[[Standard Indicator ID Short]:[Standard Indicator ID Short]], AY$4) &gt; 0, 1, 0)</f>
        <v>0</v>
      </c>
      <c r="AZ20" s="232">
        <f>IF(SUMIFS(Table1[[Result for year]:[Result for year]],Table1[[Project reference]:[Project reference]], $A20,Table1[[Standard Indicator ID Short]:[Standard Indicator ID Short]], AZ$4) &gt; 0, 1, 0)</f>
        <v>0</v>
      </c>
      <c r="BA20" s="232">
        <f>IF(SUMIFS(Table1[[Result for year]:[Result for year]],Table1[[Project reference]:[Project reference]], $A20,Table1[[Standard Indicator ID Short]:[Standard Indicator ID Short]], BA$4) &gt; 0, 1, 0)</f>
        <v>0</v>
      </c>
      <c r="BB20" s="232">
        <f>IF(SUMIFS(Table1[[Result for year]:[Result for year]],Table1[[Project reference]:[Project reference]], $A20,Table1[[Standard Indicator ID Short]:[Standard Indicator ID Short]], BB$4) &gt; 0, 1, 0)</f>
        <v>0</v>
      </c>
      <c r="BC20" s="232">
        <f>IF(SUMIFS(Table1[[Result for year]:[Result for year]],Table1[[Project reference]:[Project reference]], $A20,Table1[[Standard Indicator ID Short]:[Standard Indicator ID Short]], BC$4) &gt; 0, 1, 0)</f>
        <v>0</v>
      </c>
      <c r="BD20" s="232">
        <f>IF(SUMIFS(Table1[[Result for year]:[Result for year]],Table1[[Project reference]:[Project reference]], $A20,Table1[[Standard Indicator ID Short]:[Standard Indicator ID Short]], BD$4) &gt; 0, 1, 0)</f>
        <v>0</v>
      </c>
      <c r="BE20" s="232">
        <f>IF(SUMIFS(Table1[[Result for year]:[Result for year]],Table1[[Project reference]:[Project reference]], $A20,Table1[[Standard Indicator ID Short]:[Standard Indicator ID Short]], BE$4) &gt; 0, 1, 0)</f>
        <v>0</v>
      </c>
      <c r="BF20" s="232">
        <f>IF(SUMIFS(Table1[[Result for year]:[Result for year]],Table1[[Project reference]:[Project reference]], $A20,Table1[[Standard Indicator ID Short]:[Standard Indicator ID Short]], BF$4) &gt; 0, 1, 0)</f>
        <v>0</v>
      </c>
      <c r="BG20" s="138">
        <f>IF(SUMIFS(Table1[[Result for year]:[Result for year]],Table1[[Project reference]:[Project reference]], $A20,Table1[[Standard Indicator ID Short]:[Standard Indicator ID Short]], BG$4) &gt; 0, 1, 0)</f>
        <v>0</v>
      </c>
      <c r="BH20" s="137">
        <f>IF(SUMIFS(Table1[[Result for year]:[Result for year]],Table1[[Project reference]:[Project reference]], $A20,Table1[[Standard Indicator ID Short]:[Standard Indicator ID Short]], BH$4) &gt; 0, 1, 0)</f>
        <v>0</v>
      </c>
      <c r="BI20" s="232">
        <f>IF(SUMIFS(Table1[[Result for year]:[Result for year]],Table1[[Project reference]:[Project reference]], $A20,Table1[[Standard Indicator ID Short]:[Standard Indicator ID Short]], BI$4) &gt; 0, 1, 0)</f>
        <v>0</v>
      </c>
      <c r="BJ20" s="138">
        <f>IF(SUMIFS(Table1[[Result for year]:[Result for year]],Table1[[Project reference]:[Project reference]], $A20,Table1[[Standard Indicator ID Short]:[Standard Indicator ID Short]], BJ$4) &gt; 0, 1, 0)</f>
        <v>0</v>
      </c>
      <c r="BK20" s="144"/>
      <c r="BL20" s="79"/>
      <c r="BM20" s="148">
        <f t="shared" si="0"/>
        <v>3</v>
      </c>
      <c r="BN20" s="79"/>
      <c r="BO20" s="78"/>
    </row>
    <row r="21" spans="1:67" ht="14.25" customHeight="1" x14ac:dyDescent="0.25">
      <c r="A21" s="170" t="s">
        <v>320</v>
      </c>
      <c r="B21" s="173" t="s">
        <v>418</v>
      </c>
      <c r="C21" s="137">
        <f>IF(SUMIFS(Table1[[Result for year]:[Result for year]],Table1[[Project reference]:[Project reference]], $A21,Table1[[Standard Indicator ID Short]:[Standard Indicator ID Short]], C$4) &gt; 0, 1, 0)</f>
        <v>0</v>
      </c>
      <c r="D21" s="232">
        <f>IF(SUMIFS(Table1[[Result for year]:[Result for year]],Table1[[Project reference]:[Project reference]], $A21,Table1[[Standard Indicator ID Short]:[Standard Indicator ID Short]], D$4) &gt; 0, 1, 0)</f>
        <v>0</v>
      </c>
      <c r="E21" s="232">
        <f>IF(SUMIFS(Table1[[Result for year]:[Result for year]],Table1[[Project reference]:[Project reference]], $A21,Table1[[Standard Indicator ID Short]:[Standard Indicator ID Short]], E$4) &gt; 0, 1, 0)</f>
        <v>0</v>
      </c>
      <c r="F21" s="232">
        <f>IF(SUMIFS(Table1[[Result for year]:[Result for year]],Table1[[Project reference]:[Project reference]], $A21,Table1[[Standard Indicator ID Short]:[Standard Indicator ID Short]], F$4) &gt; 0, 1, 0)</f>
        <v>0</v>
      </c>
      <c r="G21" s="232">
        <f>IF(SUMIFS(Table1[[Result for year]:[Result for year]],Table1[[Project reference]:[Project reference]], $A21,Table1[[Standard Indicator ID Short]:[Standard Indicator ID Short]], G$4) &gt; 0, 1, 0)</f>
        <v>0</v>
      </c>
      <c r="H21" s="232">
        <f>IF(SUMIFS(Table1[[Result for year]:[Result for year]],Table1[[Project reference]:[Project reference]], $A21,Table1[[Standard Indicator ID Short]:[Standard Indicator ID Short]], H$4) &gt; 0, 1, 0)</f>
        <v>0</v>
      </c>
      <c r="I21" s="232">
        <f>IF(SUMIFS(Table1[[Result for year]:[Result for year]],Table1[[Project reference]:[Project reference]], $A21,Table1[[Standard Indicator ID Short]:[Standard Indicator ID Short]], I$4) &gt; 0, 1, 0)</f>
        <v>0</v>
      </c>
      <c r="J21" s="232">
        <f>IF(SUMIFS(Table1[[Result for year]:[Result for year]],Table1[[Project reference]:[Project reference]], $A21,Table1[[Standard Indicator ID Short]:[Standard Indicator ID Short]], J$4) &gt; 0, 1, 0)</f>
        <v>0</v>
      </c>
      <c r="K21" s="232">
        <f>IF(SUMIFS(Table1[[Result for year]:[Result for year]],Table1[[Project reference]:[Project reference]], $A21,Table1[[Standard Indicator ID Short]:[Standard Indicator ID Short]], K$4) &gt; 0, 1, 0)</f>
        <v>0</v>
      </c>
      <c r="L21" s="232">
        <f>IF(SUMIFS(Table1[[Result for year]:[Result for year]],Table1[[Project reference]:[Project reference]], $A21,Table1[[Standard Indicator ID Short]:[Standard Indicator ID Short]], L$4) &gt; 0, 1, 0)</f>
        <v>0</v>
      </c>
      <c r="M21" s="137">
        <f>IF(SUMIFS(Table1[[Result for year]:[Result for year]],Table1[[Project reference]:[Project reference]], $A21,Table1[[Standard Indicator ID Short]:[Standard Indicator ID Short]], M$4) &gt; 0, 1, 0)</f>
        <v>0</v>
      </c>
      <c r="N21" s="232">
        <f>IF(SUMIFS(Table1[[Result for year]:[Result for year]],Table1[[Project reference]:[Project reference]], $A21,Table1[[Standard Indicator ID Short]:[Standard Indicator ID Short]], N$4) &gt; 0, 1, 0)</f>
        <v>0</v>
      </c>
      <c r="O21" s="232">
        <f>IF(SUMIFS(Table1[[Result for year]:[Result for year]],Table1[[Project reference]:[Project reference]], $A21,Table1[[Standard Indicator ID Short]:[Standard Indicator ID Short]], O$4) &gt; 0, 1, 0)</f>
        <v>0</v>
      </c>
      <c r="P21" s="232">
        <f>IF(SUMIFS(Table1[[Result for year]:[Result for year]],Table1[[Project reference]:[Project reference]], $A21,Table1[[Standard Indicator ID Short]:[Standard Indicator ID Short]], P$4) &gt; 0, 1, 0)</f>
        <v>0</v>
      </c>
      <c r="Q21" s="232">
        <f>IF(SUMIFS(Table1[[Result for year]:[Result for year]],Table1[[Project reference]:[Project reference]], $A21,Table1[[Standard Indicator ID Short]:[Standard Indicator ID Short]], Q$4) &gt; 0, 1, 0)</f>
        <v>0</v>
      </c>
      <c r="R21" s="232">
        <f>IF(SUMIFS(Table1[[Result for year]:[Result for year]],Table1[[Project reference]:[Project reference]], $A21,Table1[[Standard Indicator ID Short]:[Standard Indicator ID Short]], R$4) &gt; 0, 1, 0)</f>
        <v>0</v>
      </c>
      <c r="S21" s="232">
        <f>IF(SUMIFS(Table1[[Result for year]:[Result for year]],Table1[[Project reference]:[Project reference]], $A21,Table1[[Standard Indicator ID Short]:[Standard Indicator ID Short]], S$4) &gt; 0, 1, 0)</f>
        <v>0</v>
      </c>
      <c r="T21" s="232">
        <f>IF(SUMIFS(Table1[[Result for year]:[Result for year]],Table1[[Project reference]:[Project reference]], $A21,Table1[[Standard Indicator ID Short]:[Standard Indicator ID Short]], T$4) &gt; 0, 1, 0)</f>
        <v>0</v>
      </c>
      <c r="U21" s="232">
        <f>IF(SUMIFS(Table1[[Result for year]:[Result for year]],Table1[[Project reference]:[Project reference]], $A21,Table1[[Standard Indicator ID Short]:[Standard Indicator ID Short]], U$4) &gt; 0, 1, 0)</f>
        <v>0</v>
      </c>
      <c r="V21" s="232">
        <f>IF(SUMIFS(Table1[[Result for year]:[Result for year]],Table1[[Project reference]:[Project reference]], $A21,Table1[[Standard Indicator ID Short]:[Standard Indicator ID Short]], V$4) &gt; 0, 1, 0)</f>
        <v>0</v>
      </c>
      <c r="W21" s="232">
        <f>IF(SUMIFS(Table1[[Result for year]:[Result for year]],Table1[[Project reference]:[Project reference]], $A21,Table1[[Standard Indicator ID Short]:[Standard Indicator ID Short]], W$4) &gt; 0, 1, 0)</f>
        <v>0</v>
      </c>
      <c r="X21" s="232">
        <f>IF(SUMIFS(Table1[[Result for year]:[Result for year]],Table1[[Project reference]:[Project reference]], $A21,Table1[[Standard Indicator ID Short]:[Standard Indicator ID Short]], X$4) &gt; 0, 1, 0)</f>
        <v>0</v>
      </c>
      <c r="Y21" s="137">
        <f>IF(SUMIFS(Table1[[Result for year]:[Result for year]],Table1[[Project reference]:[Project reference]], $A21,Table1[[Standard Indicator ID Short]:[Standard Indicator ID Short]], Y$4) &gt; 0, 1, 0)</f>
        <v>0</v>
      </c>
      <c r="Z21" s="232">
        <f>IF(SUMIFS(Table1[[Result for year]:[Result for year]],Table1[[Project reference]:[Project reference]], $A21,Table1[[Standard Indicator ID Short]:[Standard Indicator ID Short]], Z$4) &gt; 0, 1, 0)</f>
        <v>0</v>
      </c>
      <c r="AA21" s="232">
        <f>IF(SUMIFS(Table1[[Result for year]:[Result for year]],Table1[[Project reference]:[Project reference]], $A21,Table1[[Standard Indicator ID Short]:[Standard Indicator ID Short]], AA$4) &gt; 0, 1, 0)</f>
        <v>0</v>
      </c>
      <c r="AB21" s="232">
        <f>IF(SUMIFS(Table1[[Result for year]:[Result for year]],Table1[[Project reference]:[Project reference]], $A21,Table1[[Standard Indicator ID Short]:[Standard Indicator ID Short]], AB$4) &gt; 0, 1, 0)</f>
        <v>0</v>
      </c>
      <c r="AC21" s="232">
        <f>IF(SUMIFS(Table1[[Result for year]:[Result for year]],Table1[[Project reference]:[Project reference]], $A21,Table1[[Standard Indicator ID Short]:[Standard Indicator ID Short]], AC$4) &gt; 0, 1, 0)</f>
        <v>0</v>
      </c>
      <c r="AD21" s="232">
        <f>IF(SUMIFS(Table1[[Result for year]:[Result for year]],Table1[[Project reference]:[Project reference]], $A21,Table1[[Standard Indicator ID Short]:[Standard Indicator ID Short]], AD$4) &gt; 0, 1, 0)</f>
        <v>0</v>
      </c>
      <c r="AE21" s="232">
        <f>IF(SUMIFS(Table1[[Result for year]:[Result for year]],Table1[[Project reference]:[Project reference]], $A21,Table1[[Standard Indicator ID Short]:[Standard Indicator ID Short]], AE$4) &gt; 0, 1, 0)</f>
        <v>0</v>
      </c>
      <c r="AF21" s="232">
        <f>IF(SUMIFS(Table1[[Result for year]:[Result for year]],Table1[[Project reference]:[Project reference]], $A21,Table1[[Standard Indicator ID Short]:[Standard Indicator ID Short]], AF$4) &gt; 0, 1, 0)</f>
        <v>0</v>
      </c>
      <c r="AG21" s="232">
        <f>IF(SUMIFS(Table1[[Result for year]:[Result for year]],Table1[[Project reference]:[Project reference]], $A21,Table1[[Standard Indicator ID Short]:[Standard Indicator ID Short]], AG$4) &gt; 0, 1, 0)</f>
        <v>0</v>
      </c>
      <c r="AH21" s="232">
        <f>IF(SUMIFS(Table1[[Result for year]:[Result for year]],Table1[[Project reference]:[Project reference]], $A21,Table1[[Standard Indicator ID Short]:[Standard Indicator ID Short]], AH$4) &gt; 0, 1, 0)</f>
        <v>0</v>
      </c>
      <c r="AI21" s="232">
        <f>IF(SUMIFS(Table1[[Result for year]:[Result for year]],Table1[[Project reference]:[Project reference]], $A21,Table1[[Standard Indicator ID Short]:[Standard Indicator ID Short]], AI$4) &gt; 0, 1, 0)</f>
        <v>0</v>
      </c>
      <c r="AJ21" s="232">
        <f>IF(SUMIFS(Table1[[Result for year]:[Result for year]],Table1[[Project reference]:[Project reference]], $A21,Table1[[Standard Indicator ID Short]:[Standard Indicator ID Short]], AJ$4) &gt; 0, 1, 0)</f>
        <v>0</v>
      </c>
      <c r="AK21" s="232">
        <f>IF(SUMIFS(Table1[[Result for year]:[Result for year]],Table1[[Project reference]:[Project reference]], $A21,Table1[[Standard Indicator ID Short]:[Standard Indicator ID Short]], AK$4) &gt; 0, 1, 0)</f>
        <v>0</v>
      </c>
      <c r="AL21" s="232">
        <f>IF(SUMIFS(Table1[[Result for year]:[Result for year]],Table1[[Project reference]:[Project reference]], $A21,Table1[[Standard Indicator ID Short]:[Standard Indicator ID Short]], AL$4) &gt; 0, 1, 0)</f>
        <v>0</v>
      </c>
      <c r="AM21" s="232">
        <f>IF(SUMIFS(Table1[[Result for year]:[Result for year]],Table1[[Project reference]:[Project reference]], $A21,Table1[[Standard Indicator ID Short]:[Standard Indicator ID Short]], AM$4) &gt; 0, 1, 0)</f>
        <v>0</v>
      </c>
      <c r="AN21" s="232">
        <f>IF(SUMIFS(Table1[[Result for year]:[Result for year]],Table1[[Project reference]:[Project reference]], $A21,Table1[[Standard Indicator ID Short]:[Standard Indicator ID Short]], AN$4) &gt; 0, 1, 0)</f>
        <v>0</v>
      </c>
      <c r="AO21" s="232">
        <f>IF(SUMIFS(Table1[[Result for year]:[Result for year]],Table1[[Project reference]:[Project reference]], $A21,Table1[[Standard Indicator ID Short]:[Standard Indicator ID Short]], AO$4) &gt; 0, 1, 0)</f>
        <v>0</v>
      </c>
      <c r="AP21" s="232">
        <f>IF(SUMIFS(Table1[[Result for year]:[Result for year]],Table1[[Project reference]:[Project reference]], $A21,Table1[[Standard Indicator ID Short]:[Standard Indicator ID Short]], AP$4) &gt; 0, 1, 0)</f>
        <v>0</v>
      </c>
      <c r="AQ21" s="232">
        <f>IF(SUMIFS(Table1[[Result for year]:[Result for year]],Table1[[Project reference]:[Project reference]], $A21,Table1[[Standard Indicator ID Short]:[Standard Indicator ID Short]], AQ$4) &gt; 0, 1, 0)</f>
        <v>0</v>
      </c>
      <c r="AR21" s="137">
        <f>IF(SUMIFS(Table1[[Result for year]:[Result for year]],Table1[[Project reference]:[Project reference]], $A21,Table1[[Standard Indicator ID Short]:[Standard Indicator ID Short]], AR$4) &gt; 0, 1, 0)</f>
        <v>0</v>
      </c>
      <c r="AS21" s="232">
        <f>IF(SUMIFS(Table1[[Result for year]:[Result for year]],Table1[[Project reference]:[Project reference]], $A21,Table1[[Standard Indicator ID Short]:[Standard Indicator ID Short]], AS$4) &gt; 0, 1, 0)</f>
        <v>0</v>
      </c>
      <c r="AT21" s="232">
        <f>IF(SUMIFS(Table1[[Result for year]:[Result for year]],Table1[[Project reference]:[Project reference]], $A21,Table1[[Standard Indicator ID Short]:[Standard Indicator ID Short]], AT$4) &gt; 0, 1, 0)</f>
        <v>0</v>
      </c>
      <c r="AU21" s="232">
        <f>IF(SUMIFS(Table1[[Result for year]:[Result for year]],Table1[[Project reference]:[Project reference]], $A21,Table1[[Standard Indicator ID Short]:[Standard Indicator ID Short]], AU$4) &gt; 0, 1, 0)</f>
        <v>0</v>
      </c>
      <c r="AV21" s="232">
        <f>IF(SUMIFS(Table1[[Result for year]:[Result for year]],Table1[[Project reference]:[Project reference]], $A21,Table1[[Standard Indicator ID Short]:[Standard Indicator ID Short]], AV$4) &gt; 0, 1, 0)</f>
        <v>0</v>
      </c>
      <c r="AW21" s="232">
        <f>IF(SUMIFS(Table1[[Result for year]:[Result for year]],Table1[[Project reference]:[Project reference]], $A21,Table1[[Standard Indicator ID Short]:[Standard Indicator ID Short]], AW$4) &gt; 0, 1, 0)</f>
        <v>0</v>
      </c>
      <c r="AX21" s="232">
        <f>IF(SUMIFS(Table1[[Result for year]:[Result for year]],Table1[[Project reference]:[Project reference]], $A21,Table1[[Standard Indicator ID Short]:[Standard Indicator ID Short]], AX$4) &gt; 0, 1, 0)</f>
        <v>0</v>
      </c>
      <c r="AY21" s="232">
        <f>IF(SUMIFS(Table1[[Result for year]:[Result for year]],Table1[[Project reference]:[Project reference]], $A21,Table1[[Standard Indicator ID Short]:[Standard Indicator ID Short]], AY$4) &gt; 0, 1, 0)</f>
        <v>0</v>
      </c>
      <c r="AZ21" s="232">
        <f>IF(SUMIFS(Table1[[Result for year]:[Result for year]],Table1[[Project reference]:[Project reference]], $A21,Table1[[Standard Indicator ID Short]:[Standard Indicator ID Short]], AZ$4) &gt; 0, 1, 0)</f>
        <v>0</v>
      </c>
      <c r="BA21" s="232">
        <f>IF(SUMIFS(Table1[[Result for year]:[Result for year]],Table1[[Project reference]:[Project reference]], $A21,Table1[[Standard Indicator ID Short]:[Standard Indicator ID Short]], BA$4) &gt; 0, 1, 0)</f>
        <v>0</v>
      </c>
      <c r="BB21" s="232">
        <f>IF(SUMIFS(Table1[[Result for year]:[Result for year]],Table1[[Project reference]:[Project reference]], $A21,Table1[[Standard Indicator ID Short]:[Standard Indicator ID Short]], BB$4) &gt; 0, 1, 0)</f>
        <v>0</v>
      </c>
      <c r="BC21" s="232">
        <f>IF(SUMIFS(Table1[[Result for year]:[Result for year]],Table1[[Project reference]:[Project reference]], $A21,Table1[[Standard Indicator ID Short]:[Standard Indicator ID Short]], BC$4) &gt; 0, 1, 0)</f>
        <v>0</v>
      </c>
      <c r="BD21" s="232">
        <f>IF(SUMIFS(Table1[[Result for year]:[Result for year]],Table1[[Project reference]:[Project reference]], $A21,Table1[[Standard Indicator ID Short]:[Standard Indicator ID Short]], BD$4) &gt; 0, 1, 0)</f>
        <v>0</v>
      </c>
      <c r="BE21" s="232">
        <f>IF(SUMIFS(Table1[[Result for year]:[Result for year]],Table1[[Project reference]:[Project reference]], $A21,Table1[[Standard Indicator ID Short]:[Standard Indicator ID Short]], BE$4) &gt; 0, 1, 0)</f>
        <v>0</v>
      </c>
      <c r="BF21" s="232">
        <f>IF(SUMIFS(Table1[[Result for year]:[Result for year]],Table1[[Project reference]:[Project reference]], $A21,Table1[[Standard Indicator ID Short]:[Standard Indicator ID Short]], BF$4) &gt; 0, 1, 0)</f>
        <v>0</v>
      </c>
      <c r="BG21" s="138">
        <f>IF(SUMIFS(Table1[[Result for year]:[Result for year]],Table1[[Project reference]:[Project reference]], $A21,Table1[[Standard Indicator ID Short]:[Standard Indicator ID Short]], BG$4) &gt; 0, 1, 0)</f>
        <v>0</v>
      </c>
      <c r="BH21" s="137">
        <f>IF(SUMIFS(Table1[[Result for year]:[Result for year]],Table1[[Project reference]:[Project reference]], $A21,Table1[[Standard Indicator ID Short]:[Standard Indicator ID Short]], BH$4) &gt; 0, 1, 0)</f>
        <v>0</v>
      </c>
      <c r="BI21" s="232">
        <f>IF(SUMIFS(Table1[[Result for year]:[Result for year]],Table1[[Project reference]:[Project reference]], $A21,Table1[[Standard Indicator ID Short]:[Standard Indicator ID Short]], BI$4) &gt; 0, 1, 0)</f>
        <v>0</v>
      </c>
      <c r="BJ21" s="138">
        <f>IF(SUMIFS(Table1[[Result for year]:[Result for year]],Table1[[Project reference]:[Project reference]], $A21,Table1[[Standard Indicator ID Short]:[Standard Indicator ID Short]], BJ$4) &gt; 0, 1, 0)</f>
        <v>0</v>
      </c>
      <c r="BK21" s="144"/>
      <c r="BL21" s="79"/>
      <c r="BM21" s="148">
        <f t="shared" si="0"/>
        <v>0</v>
      </c>
      <c r="BN21" s="79"/>
      <c r="BO21" s="78"/>
    </row>
    <row r="22" spans="1:67" ht="14.25" customHeight="1" x14ac:dyDescent="0.25">
      <c r="A22" s="170" t="s">
        <v>321</v>
      </c>
      <c r="B22" s="173" t="s">
        <v>419</v>
      </c>
      <c r="C22" s="137">
        <f>IF(SUMIFS(Table1[[Result for year]:[Result for year]],Table1[[Project reference]:[Project reference]], $A22,Table1[[Standard Indicator ID Short]:[Standard Indicator ID Short]], C$4) &gt; 0, 1, 0)</f>
        <v>0</v>
      </c>
      <c r="D22" s="232">
        <f>IF(SUMIFS(Table1[[Result for year]:[Result for year]],Table1[[Project reference]:[Project reference]], $A22,Table1[[Standard Indicator ID Short]:[Standard Indicator ID Short]], D$4) &gt; 0, 1, 0)</f>
        <v>0</v>
      </c>
      <c r="E22" s="232">
        <f>IF(SUMIFS(Table1[[Result for year]:[Result for year]],Table1[[Project reference]:[Project reference]], $A22,Table1[[Standard Indicator ID Short]:[Standard Indicator ID Short]], E$4) &gt; 0, 1, 0)</f>
        <v>1</v>
      </c>
      <c r="F22" s="232">
        <f>IF(SUMIFS(Table1[[Result for year]:[Result for year]],Table1[[Project reference]:[Project reference]], $A22,Table1[[Standard Indicator ID Short]:[Standard Indicator ID Short]], F$4) &gt; 0, 1, 0)</f>
        <v>0</v>
      </c>
      <c r="G22" s="232">
        <f>IF(SUMIFS(Table1[[Result for year]:[Result for year]],Table1[[Project reference]:[Project reference]], $A22,Table1[[Standard Indicator ID Short]:[Standard Indicator ID Short]], G$4) &gt; 0, 1, 0)</f>
        <v>0</v>
      </c>
      <c r="H22" s="232">
        <f>IF(SUMIFS(Table1[[Result for year]:[Result for year]],Table1[[Project reference]:[Project reference]], $A22,Table1[[Standard Indicator ID Short]:[Standard Indicator ID Short]], H$4) &gt; 0, 1, 0)</f>
        <v>0</v>
      </c>
      <c r="I22" s="232">
        <f>IF(SUMIFS(Table1[[Result for year]:[Result for year]],Table1[[Project reference]:[Project reference]], $A22,Table1[[Standard Indicator ID Short]:[Standard Indicator ID Short]], I$4) &gt; 0, 1, 0)</f>
        <v>0</v>
      </c>
      <c r="J22" s="232">
        <f>IF(SUMIFS(Table1[[Result for year]:[Result for year]],Table1[[Project reference]:[Project reference]], $A22,Table1[[Standard Indicator ID Short]:[Standard Indicator ID Short]], J$4) &gt; 0, 1, 0)</f>
        <v>0</v>
      </c>
      <c r="K22" s="232">
        <f>IF(SUMIFS(Table1[[Result for year]:[Result for year]],Table1[[Project reference]:[Project reference]], $A22,Table1[[Standard Indicator ID Short]:[Standard Indicator ID Short]], K$4) &gt; 0, 1, 0)</f>
        <v>0</v>
      </c>
      <c r="L22" s="232">
        <f>IF(SUMIFS(Table1[[Result for year]:[Result for year]],Table1[[Project reference]:[Project reference]], $A22,Table1[[Standard Indicator ID Short]:[Standard Indicator ID Short]], L$4) &gt; 0, 1, 0)</f>
        <v>0</v>
      </c>
      <c r="M22" s="137">
        <f>IF(SUMIFS(Table1[[Result for year]:[Result for year]],Table1[[Project reference]:[Project reference]], $A22,Table1[[Standard Indicator ID Short]:[Standard Indicator ID Short]], M$4) &gt; 0, 1, 0)</f>
        <v>0</v>
      </c>
      <c r="N22" s="232">
        <f>IF(SUMIFS(Table1[[Result for year]:[Result for year]],Table1[[Project reference]:[Project reference]], $A22,Table1[[Standard Indicator ID Short]:[Standard Indicator ID Short]], N$4) &gt; 0, 1, 0)</f>
        <v>0</v>
      </c>
      <c r="O22" s="232">
        <f>IF(SUMIFS(Table1[[Result for year]:[Result for year]],Table1[[Project reference]:[Project reference]], $A22,Table1[[Standard Indicator ID Short]:[Standard Indicator ID Short]], O$4) &gt; 0, 1, 0)</f>
        <v>0</v>
      </c>
      <c r="P22" s="232">
        <f>IF(SUMIFS(Table1[[Result for year]:[Result for year]],Table1[[Project reference]:[Project reference]], $A22,Table1[[Standard Indicator ID Short]:[Standard Indicator ID Short]], P$4) &gt; 0, 1, 0)</f>
        <v>0</v>
      </c>
      <c r="Q22" s="232">
        <f>IF(SUMIFS(Table1[[Result for year]:[Result for year]],Table1[[Project reference]:[Project reference]], $A22,Table1[[Standard Indicator ID Short]:[Standard Indicator ID Short]], Q$4) &gt; 0, 1, 0)</f>
        <v>0</v>
      </c>
      <c r="R22" s="232">
        <f>IF(SUMIFS(Table1[[Result for year]:[Result for year]],Table1[[Project reference]:[Project reference]], $A22,Table1[[Standard Indicator ID Short]:[Standard Indicator ID Short]], R$4) &gt; 0, 1, 0)</f>
        <v>0</v>
      </c>
      <c r="S22" s="232">
        <f>IF(SUMIFS(Table1[[Result for year]:[Result for year]],Table1[[Project reference]:[Project reference]], $A22,Table1[[Standard Indicator ID Short]:[Standard Indicator ID Short]], S$4) &gt; 0, 1, 0)</f>
        <v>0</v>
      </c>
      <c r="T22" s="232">
        <f>IF(SUMIFS(Table1[[Result for year]:[Result for year]],Table1[[Project reference]:[Project reference]], $A22,Table1[[Standard Indicator ID Short]:[Standard Indicator ID Short]], T$4) &gt; 0, 1, 0)</f>
        <v>0</v>
      </c>
      <c r="U22" s="232">
        <f>IF(SUMIFS(Table1[[Result for year]:[Result for year]],Table1[[Project reference]:[Project reference]], $A22,Table1[[Standard Indicator ID Short]:[Standard Indicator ID Short]], U$4) &gt; 0, 1, 0)</f>
        <v>0</v>
      </c>
      <c r="V22" s="232">
        <f>IF(SUMIFS(Table1[[Result for year]:[Result for year]],Table1[[Project reference]:[Project reference]], $A22,Table1[[Standard Indicator ID Short]:[Standard Indicator ID Short]], V$4) &gt; 0, 1, 0)</f>
        <v>0</v>
      </c>
      <c r="W22" s="232">
        <f>IF(SUMIFS(Table1[[Result for year]:[Result for year]],Table1[[Project reference]:[Project reference]], $A22,Table1[[Standard Indicator ID Short]:[Standard Indicator ID Short]], W$4) &gt; 0, 1, 0)</f>
        <v>0</v>
      </c>
      <c r="X22" s="232">
        <f>IF(SUMIFS(Table1[[Result for year]:[Result for year]],Table1[[Project reference]:[Project reference]], $A22,Table1[[Standard Indicator ID Short]:[Standard Indicator ID Short]], X$4) &gt; 0, 1, 0)</f>
        <v>0</v>
      </c>
      <c r="Y22" s="137">
        <f>IF(SUMIFS(Table1[[Result for year]:[Result for year]],Table1[[Project reference]:[Project reference]], $A22,Table1[[Standard Indicator ID Short]:[Standard Indicator ID Short]], Y$4) &gt; 0, 1, 0)</f>
        <v>1</v>
      </c>
      <c r="Z22" s="232">
        <f>IF(SUMIFS(Table1[[Result for year]:[Result for year]],Table1[[Project reference]:[Project reference]], $A22,Table1[[Standard Indicator ID Short]:[Standard Indicator ID Short]], Z$4) &gt; 0, 1, 0)</f>
        <v>0</v>
      </c>
      <c r="AA22" s="232">
        <f>IF(SUMIFS(Table1[[Result for year]:[Result for year]],Table1[[Project reference]:[Project reference]], $A22,Table1[[Standard Indicator ID Short]:[Standard Indicator ID Short]], AA$4) &gt; 0, 1, 0)</f>
        <v>0</v>
      </c>
      <c r="AB22" s="232">
        <f>IF(SUMIFS(Table1[[Result for year]:[Result for year]],Table1[[Project reference]:[Project reference]], $A22,Table1[[Standard Indicator ID Short]:[Standard Indicator ID Short]], AB$4) &gt; 0, 1, 0)</f>
        <v>0</v>
      </c>
      <c r="AC22" s="232">
        <f>IF(SUMIFS(Table1[[Result for year]:[Result for year]],Table1[[Project reference]:[Project reference]], $A22,Table1[[Standard Indicator ID Short]:[Standard Indicator ID Short]], AC$4) &gt; 0, 1, 0)</f>
        <v>0</v>
      </c>
      <c r="AD22" s="232">
        <f>IF(SUMIFS(Table1[[Result for year]:[Result for year]],Table1[[Project reference]:[Project reference]], $A22,Table1[[Standard Indicator ID Short]:[Standard Indicator ID Short]], AD$4) &gt; 0, 1, 0)</f>
        <v>0</v>
      </c>
      <c r="AE22" s="232">
        <f>IF(SUMIFS(Table1[[Result for year]:[Result for year]],Table1[[Project reference]:[Project reference]], $A22,Table1[[Standard Indicator ID Short]:[Standard Indicator ID Short]], AE$4) &gt; 0, 1, 0)</f>
        <v>0</v>
      </c>
      <c r="AF22" s="232">
        <f>IF(SUMIFS(Table1[[Result for year]:[Result for year]],Table1[[Project reference]:[Project reference]], $A22,Table1[[Standard Indicator ID Short]:[Standard Indicator ID Short]], AF$4) &gt; 0, 1, 0)</f>
        <v>0</v>
      </c>
      <c r="AG22" s="232">
        <f>IF(SUMIFS(Table1[[Result for year]:[Result for year]],Table1[[Project reference]:[Project reference]], $A22,Table1[[Standard Indicator ID Short]:[Standard Indicator ID Short]], AG$4) &gt; 0, 1, 0)</f>
        <v>0</v>
      </c>
      <c r="AH22" s="232">
        <f>IF(SUMIFS(Table1[[Result for year]:[Result for year]],Table1[[Project reference]:[Project reference]], $A22,Table1[[Standard Indicator ID Short]:[Standard Indicator ID Short]], AH$4) &gt; 0, 1, 0)</f>
        <v>0</v>
      </c>
      <c r="AI22" s="232">
        <f>IF(SUMIFS(Table1[[Result for year]:[Result for year]],Table1[[Project reference]:[Project reference]], $A22,Table1[[Standard Indicator ID Short]:[Standard Indicator ID Short]], AI$4) &gt; 0, 1, 0)</f>
        <v>0</v>
      </c>
      <c r="AJ22" s="232">
        <f>IF(SUMIFS(Table1[[Result for year]:[Result for year]],Table1[[Project reference]:[Project reference]], $A22,Table1[[Standard Indicator ID Short]:[Standard Indicator ID Short]], AJ$4) &gt; 0, 1, 0)</f>
        <v>0</v>
      </c>
      <c r="AK22" s="232">
        <f>IF(SUMIFS(Table1[[Result for year]:[Result for year]],Table1[[Project reference]:[Project reference]], $A22,Table1[[Standard Indicator ID Short]:[Standard Indicator ID Short]], AK$4) &gt; 0, 1, 0)</f>
        <v>0</v>
      </c>
      <c r="AL22" s="232">
        <f>IF(SUMIFS(Table1[[Result for year]:[Result for year]],Table1[[Project reference]:[Project reference]], $A22,Table1[[Standard Indicator ID Short]:[Standard Indicator ID Short]], AL$4) &gt; 0, 1, 0)</f>
        <v>0</v>
      </c>
      <c r="AM22" s="232">
        <f>IF(SUMIFS(Table1[[Result for year]:[Result for year]],Table1[[Project reference]:[Project reference]], $A22,Table1[[Standard Indicator ID Short]:[Standard Indicator ID Short]], AM$4) &gt; 0, 1, 0)</f>
        <v>0</v>
      </c>
      <c r="AN22" s="232">
        <f>IF(SUMIFS(Table1[[Result for year]:[Result for year]],Table1[[Project reference]:[Project reference]], $A22,Table1[[Standard Indicator ID Short]:[Standard Indicator ID Short]], AN$4) &gt; 0, 1, 0)</f>
        <v>0</v>
      </c>
      <c r="AO22" s="232">
        <f>IF(SUMIFS(Table1[[Result for year]:[Result for year]],Table1[[Project reference]:[Project reference]], $A22,Table1[[Standard Indicator ID Short]:[Standard Indicator ID Short]], AO$4) &gt; 0, 1, 0)</f>
        <v>0</v>
      </c>
      <c r="AP22" s="232">
        <f>IF(SUMIFS(Table1[[Result for year]:[Result for year]],Table1[[Project reference]:[Project reference]], $A22,Table1[[Standard Indicator ID Short]:[Standard Indicator ID Short]], AP$4) &gt; 0, 1, 0)</f>
        <v>0</v>
      </c>
      <c r="AQ22" s="232">
        <f>IF(SUMIFS(Table1[[Result for year]:[Result for year]],Table1[[Project reference]:[Project reference]], $A22,Table1[[Standard Indicator ID Short]:[Standard Indicator ID Short]], AQ$4) &gt; 0, 1, 0)</f>
        <v>0</v>
      </c>
      <c r="AR22" s="137">
        <f>IF(SUMIFS(Table1[[Result for year]:[Result for year]],Table1[[Project reference]:[Project reference]], $A22,Table1[[Standard Indicator ID Short]:[Standard Indicator ID Short]], AR$4) &gt; 0, 1, 0)</f>
        <v>0</v>
      </c>
      <c r="AS22" s="232">
        <f>IF(SUMIFS(Table1[[Result for year]:[Result for year]],Table1[[Project reference]:[Project reference]], $A22,Table1[[Standard Indicator ID Short]:[Standard Indicator ID Short]], AS$4) &gt; 0, 1, 0)</f>
        <v>0</v>
      </c>
      <c r="AT22" s="232">
        <f>IF(SUMIFS(Table1[[Result for year]:[Result for year]],Table1[[Project reference]:[Project reference]], $A22,Table1[[Standard Indicator ID Short]:[Standard Indicator ID Short]], AT$4) &gt; 0, 1, 0)</f>
        <v>0</v>
      </c>
      <c r="AU22" s="232">
        <f>IF(SUMIFS(Table1[[Result for year]:[Result for year]],Table1[[Project reference]:[Project reference]], $A22,Table1[[Standard Indicator ID Short]:[Standard Indicator ID Short]], AU$4) &gt; 0, 1, 0)</f>
        <v>0</v>
      </c>
      <c r="AV22" s="232">
        <f>IF(SUMIFS(Table1[[Result for year]:[Result for year]],Table1[[Project reference]:[Project reference]], $A22,Table1[[Standard Indicator ID Short]:[Standard Indicator ID Short]], AV$4) &gt; 0, 1, 0)</f>
        <v>0</v>
      </c>
      <c r="AW22" s="232">
        <f>IF(SUMIFS(Table1[[Result for year]:[Result for year]],Table1[[Project reference]:[Project reference]], $A22,Table1[[Standard Indicator ID Short]:[Standard Indicator ID Short]], AW$4) &gt; 0, 1, 0)</f>
        <v>0</v>
      </c>
      <c r="AX22" s="232">
        <f>IF(SUMIFS(Table1[[Result for year]:[Result for year]],Table1[[Project reference]:[Project reference]], $A22,Table1[[Standard Indicator ID Short]:[Standard Indicator ID Short]], AX$4) &gt; 0, 1, 0)</f>
        <v>0</v>
      </c>
      <c r="AY22" s="232">
        <f>IF(SUMIFS(Table1[[Result for year]:[Result for year]],Table1[[Project reference]:[Project reference]], $A22,Table1[[Standard Indicator ID Short]:[Standard Indicator ID Short]], AY$4) &gt; 0, 1, 0)</f>
        <v>0</v>
      </c>
      <c r="AZ22" s="232">
        <f>IF(SUMIFS(Table1[[Result for year]:[Result for year]],Table1[[Project reference]:[Project reference]], $A22,Table1[[Standard Indicator ID Short]:[Standard Indicator ID Short]], AZ$4) &gt; 0, 1, 0)</f>
        <v>0</v>
      </c>
      <c r="BA22" s="232">
        <f>IF(SUMIFS(Table1[[Result for year]:[Result for year]],Table1[[Project reference]:[Project reference]], $A22,Table1[[Standard Indicator ID Short]:[Standard Indicator ID Short]], BA$4) &gt; 0, 1, 0)</f>
        <v>0</v>
      </c>
      <c r="BB22" s="232">
        <f>IF(SUMIFS(Table1[[Result for year]:[Result for year]],Table1[[Project reference]:[Project reference]], $A22,Table1[[Standard Indicator ID Short]:[Standard Indicator ID Short]], BB$4) &gt; 0, 1, 0)</f>
        <v>0</v>
      </c>
      <c r="BC22" s="232">
        <f>IF(SUMIFS(Table1[[Result for year]:[Result for year]],Table1[[Project reference]:[Project reference]], $A22,Table1[[Standard Indicator ID Short]:[Standard Indicator ID Short]], BC$4) &gt; 0, 1, 0)</f>
        <v>0</v>
      </c>
      <c r="BD22" s="232">
        <f>IF(SUMIFS(Table1[[Result for year]:[Result for year]],Table1[[Project reference]:[Project reference]], $A22,Table1[[Standard Indicator ID Short]:[Standard Indicator ID Short]], BD$4) &gt; 0, 1, 0)</f>
        <v>0</v>
      </c>
      <c r="BE22" s="232">
        <f>IF(SUMIFS(Table1[[Result for year]:[Result for year]],Table1[[Project reference]:[Project reference]], $A22,Table1[[Standard Indicator ID Short]:[Standard Indicator ID Short]], BE$4) &gt; 0, 1, 0)</f>
        <v>0</v>
      </c>
      <c r="BF22" s="232">
        <f>IF(SUMIFS(Table1[[Result for year]:[Result for year]],Table1[[Project reference]:[Project reference]], $A22,Table1[[Standard Indicator ID Short]:[Standard Indicator ID Short]], BF$4) &gt; 0, 1, 0)</f>
        <v>0</v>
      </c>
      <c r="BG22" s="138">
        <f>IF(SUMIFS(Table1[[Result for year]:[Result for year]],Table1[[Project reference]:[Project reference]], $A22,Table1[[Standard Indicator ID Short]:[Standard Indicator ID Short]], BG$4) &gt; 0, 1, 0)</f>
        <v>0</v>
      </c>
      <c r="BH22" s="137">
        <f>IF(SUMIFS(Table1[[Result for year]:[Result for year]],Table1[[Project reference]:[Project reference]], $A22,Table1[[Standard Indicator ID Short]:[Standard Indicator ID Short]], BH$4) &gt; 0, 1, 0)</f>
        <v>0</v>
      </c>
      <c r="BI22" s="232">
        <f>IF(SUMIFS(Table1[[Result for year]:[Result for year]],Table1[[Project reference]:[Project reference]], $A22,Table1[[Standard Indicator ID Short]:[Standard Indicator ID Short]], BI$4) &gt; 0, 1, 0)</f>
        <v>0</v>
      </c>
      <c r="BJ22" s="138">
        <f>IF(SUMIFS(Table1[[Result for year]:[Result for year]],Table1[[Project reference]:[Project reference]], $A22,Table1[[Standard Indicator ID Short]:[Standard Indicator ID Short]], BJ$4) &gt; 0, 1, 0)</f>
        <v>0</v>
      </c>
      <c r="BK22" s="144"/>
      <c r="BL22" s="79"/>
      <c r="BM22" s="148">
        <f t="shared" si="0"/>
        <v>2</v>
      </c>
      <c r="BN22" s="79"/>
      <c r="BO22" s="78"/>
    </row>
    <row r="23" spans="1:67" ht="14.25" customHeight="1" x14ac:dyDescent="0.25">
      <c r="A23" s="170" t="s">
        <v>322</v>
      </c>
      <c r="B23" s="173" t="s">
        <v>420</v>
      </c>
      <c r="C23" s="137">
        <f>IF(SUMIFS(Table1[[Result for year]:[Result for year]],Table1[[Project reference]:[Project reference]], $A23,Table1[[Standard Indicator ID Short]:[Standard Indicator ID Short]], C$4) &gt; 0, 1, 0)</f>
        <v>0</v>
      </c>
      <c r="D23" s="232">
        <f>IF(SUMIFS(Table1[[Result for year]:[Result for year]],Table1[[Project reference]:[Project reference]], $A23,Table1[[Standard Indicator ID Short]:[Standard Indicator ID Short]], D$4) &gt; 0, 1, 0)</f>
        <v>0</v>
      </c>
      <c r="E23" s="232">
        <f>IF(SUMIFS(Table1[[Result for year]:[Result for year]],Table1[[Project reference]:[Project reference]], $A23,Table1[[Standard Indicator ID Short]:[Standard Indicator ID Short]], E$4) &gt; 0, 1, 0)</f>
        <v>0</v>
      </c>
      <c r="F23" s="232">
        <f>IF(SUMIFS(Table1[[Result for year]:[Result for year]],Table1[[Project reference]:[Project reference]], $A23,Table1[[Standard Indicator ID Short]:[Standard Indicator ID Short]], F$4) &gt; 0, 1, 0)</f>
        <v>0</v>
      </c>
      <c r="G23" s="232">
        <f>IF(SUMIFS(Table1[[Result for year]:[Result for year]],Table1[[Project reference]:[Project reference]], $A23,Table1[[Standard Indicator ID Short]:[Standard Indicator ID Short]], G$4) &gt; 0, 1, 0)</f>
        <v>0</v>
      </c>
      <c r="H23" s="232">
        <f>IF(SUMIFS(Table1[[Result for year]:[Result for year]],Table1[[Project reference]:[Project reference]], $A23,Table1[[Standard Indicator ID Short]:[Standard Indicator ID Short]], H$4) &gt; 0, 1, 0)</f>
        <v>0</v>
      </c>
      <c r="I23" s="232">
        <f>IF(SUMIFS(Table1[[Result for year]:[Result for year]],Table1[[Project reference]:[Project reference]], $A23,Table1[[Standard Indicator ID Short]:[Standard Indicator ID Short]], I$4) &gt; 0, 1, 0)</f>
        <v>0</v>
      </c>
      <c r="J23" s="232">
        <f>IF(SUMIFS(Table1[[Result for year]:[Result for year]],Table1[[Project reference]:[Project reference]], $A23,Table1[[Standard Indicator ID Short]:[Standard Indicator ID Short]], J$4) &gt; 0, 1, 0)</f>
        <v>0</v>
      </c>
      <c r="K23" s="232">
        <f>IF(SUMIFS(Table1[[Result for year]:[Result for year]],Table1[[Project reference]:[Project reference]], $A23,Table1[[Standard Indicator ID Short]:[Standard Indicator ID Short]], K$4) &gt; 0, 1, 0)</f>
        <v>0</v>
      </c>
      <c r="L23" s="232">
        <f>IF(SUMIFS(Table1[[Result for year]:[Result for year]],Table1[[Project reference]:[Project reference]], $A23,Table1[[Standard Indicator ID Short]:[Standard Indicator ID Short]], L$4) &gt; 0, 1, 0)</f>
        <v>0</v>
      </c>
      <c r="M23" s="137">
        <f>IF(SUMIFS(Table1[[Result for year]:[Result for year]],Table1[[Project reference]:[Project reference]], $A23,Table1[[Standard Indicator ID Short]:[Standard Indicator ID Short]], M$4) &gt; 0, 1, 0)</f>
        <v>0</v>
      </c>
      <c r="N23" s="232">
        <f>IF(SUMIFS(Table1[[Result for year]:[Result for year]],Table1[[Project reference]:[Project reference]], $A23,Table1[[Standard Indicator ID Short]:[Standard Indicator ID Short]], N$4) &gt; 0, 1, 0)</f>
        <v>0</v>
      </c>
      <c r="O23" s="232">
        <f>IF(SUMIFS(Table1[[Result for year]:[Result for year]],Table1[[Project reference]:[Project reference]], $A23,Table1[[Standard Indicator ID Short]:[Standard Indicator ID Short]], O$4) &gt; 0, 1, 0)</f>
        <v>0</v>
      </c>
      <c r="P23" s="232">
        <f>IF(SUMIFS(Table1[[Result for year]:[Result for year]],Table1[[Project reference]:[Project reference]], $A23,Table1[[Standard Indicator ID Short]:[Standard Indicator ID Short]], P$4) &gt; 0, 1, 0)</f>
        <v>0</v>
      </c>
      <c r="Q23" s="232">
        <f>IF(SUMIFS(Table1[[Result for year]:[Result for year]],Table1[[Project reference]:[Project reference]], $A23,Table1[[Standard Indicator ID Short]:[Standard Indicator ID Short]], Q$4) &gt; 0, 1, 0)</f>
        <v>0</v>
      </c>
      <c r="R23" s="232">
        <f>IF(SUMIFS(Table1[[Result for year]:[Result for year]],Table1[[Project reference]:[Project reference]], $A23,Table1[[Standard Indicator ID Short]:[Standard Indicator ID Short]], R$4) &gt; 0, 1, 0)</f>
        <v>0</v>
      </c>
      <c r="S23" s="232">
        <f>IF(SUMIFS(Table1[[Result for year]:[Result for year]],Table1[[Project reference]:[Project reference]], $A23,Table1[[Standard Indicator ID Short]:[Standard Indicator ID Short]], S$4) &gt; 0, 1, 0)</f>
        <v>0</v>
      </c>
      <c r="T23" s="232">
        <f>IF(SUMIFS(Table1[[Result for year]:[Result for year]],Table1[[Project reference]:[Project reference]], $A23,Table1[[Standard Indicator ID Short]:[Standard Indicator ID Short]], T$4) &gt; 0, 1, 0)</f>
        <v>0</v>
      </c>
      <c r="U23" s="232">
        <f>IF(SUMIFS(Table1[[Result for year]:[Result for year]],Table1[[Project reference]:[Project reference]], $A23,Table1[[Standard Indicator ID Short]:[Standard Indicator ID Short]], U$4) &gt; 0, 1, 0)</f>
        <v>0</v>
      </c>
      <c r="V23" s="232">
        <f>IF(SUMIFS(Table1[[Result for year]:[Result for year]],Table1[[Project reference]:[Project reference]], $A23,Table1[[Standard Indicator ID Short]:[Standard Indicator ID Short]], V$4) &gt; 0, 1, 0)</f>
        <v>0</v>
      </c>
      <c r="W23" s="232">
        <f>IF(SUMIFS(Table1[[Result for year]:[Result for year]],Table1[[Project reference]:[Project reference]], $A23,Table1[[Standard Indicator ID Short]:[Standard Indicator ID Short]], W$4) &gt; 0, 1, 0)</f>
        <v>0</v>
      </c>
      <c r="X23" s="232">
        <f>IF(SUMIFS(Table1[[Result for year]:[Result for year]],Table1[[Project reference]:[Project reference]], $A23,Table1[[Standard Indicator ID Short]:[Standard Indicator ID Short]], X$4) &gt; 0, 1, 0)</f>
        <v>0</v>
      </c>
      <c r="Y23" s="137">
        <f>IF(SUMIFS(Table1[[Result for year]:[Result for year]],Table1[[Project reference]:[Project reference]], $A23,Table1[[Standard Indicator ID Short]:[Standard Indicator ID Short]], Y$4) &gt; 0, 1, 0)</f>
        <v>0</v>
      </c>
      <c r="Z23" s="232">
        <f>IF(SUMIFS(Table1[[Result for year]:[Result for year]],Table1[[Project reference]:[Project reference]], $A23,Table1[[Standard Indicator ID Short]:[Standard Indicator ID Short]], Z$4) &gt; 0, 1, 0)</f>
        <v>0</v>
      </c>
      <c r="AA23" s="232">
        <f>IF(SUMIFS(Table1[[Result for year]:[Result for year]],Table1[[Project reference]:[Project reference]], $A23,Table1[[Standard Indicator ID Short]:[Standard Indicator ID Short]], AA$4) &gt; 0, 1, 0)</f>
        <v>0</v>
      </c>
      <c r="AB23" s="232">
        <f>IF(SUMIFS(Table1[[Result for year]:[Result for year]],Table1[[Project reference]:[Project reference]], $A23,Table1[[Standard Indicator ID Short]:[Standard Indicator ID Short]], AB$4) &gt; 0, 1, 0)</f>
        <v>0</v>
      </c>
      <c r="AC23" s="232">
        <f>IF(SUMIFS(Table1[[Result for year]:[Result for year]],Table1[[Project reference]:[Project reference]], $A23,Table1[[Standard Indicator ID Short]:[Standard Indicator ID Short]], AC$4) &gt; 0, 1, 0)</f>
        <v>0</v>
      </c>
      <c r="AD23" s="232">
        <f>IF(SUMIFS(Table1[[Result for year]:[Result for year]],Table1[[Project reference]:[Project reference]], $A23,Table1[[Standard Indicator ID Short]:[Standard Indicator ID Short]], AD$4) &gt; 0, 1, 0)</f>
        <v>0</v>
      </c>
      <c r="AE23" s="232">
        <f>IF(SUMIFS(Table1[[Result for year]:[Result for year]],Table1[[Project reference]:[Project reference]], $A23,Table1[[Standard Indicator ID Short]:[Standard Indicator ID Short]], AE$4) &gt; 0, 1, 0)</f>
        <v>0</v>
      </c>
      <c r="AF23" s="232">
        <f>IF(SUMIFS(Table1[[Result for year]:[Result for year]],Table1[[Project reference]:[Project reference]], $A23,Table1[[Standard Indicator ID Short]:[Standard Indicator ID Short]], AF$4) &gt; 0, 1, 0)</f>
        <v>0</v>
      </c>
      <c r="AG23" s="232">
        <f>IF(SUMIFS(Table1[[Result for year]:[Result for year]],Table1[[Project reference]:[Project reference]], $A23,Table1[[Standard Indicator ID Short]:[Standard Indicator ID Short]], AG$4) &gt; 0, 1, 0)</f>
        <v>0</v>
      </c>
      <c r="AH23" s="232">
        <f>IF(SUMIFS(Table1[[Result for year]:[Result for year]],Table1[[Project reference]:[Project reference]], $A23,Table1[[Standard Indicator ID Short]:[Standard Indicator ID Short]], AH$4) &gt; 0, 1, 0)</f>
        <v>0</v>
      </c>
      <c r="AI23" s="232">
        <f>IF(SUMIFS(Table1[[Result for year]:[Result for year]],Table1[[Project reference]:[Project reference]], $A23,Table1[[Standard Indicator ID Short]:[Standard Indicator ID Short]], AI$4) &gt; 0, 1, 0)</f>
        <v>0</v>
      </c>
      <c r="AJ23" s="232">
        <f>IF(SUMIFS(Table1[[Result for year]:[Result for year]],Table1[[Project reference]:[Project reference]], $A23,Table1[[Standard Indicator ID Short]:[Standard Indicator ID Short]], AJ$4) &gt; 0, 1, 0)</f>
        <v>0</v>
      </c>
      <c r="AK23" s="232">
        <f>IF(SUMIFS(Table1[[Result for year]:[Result for year]],Table1[[Project reference]:[Project reference]], $A23,Table1[[Standard Indicator ID Short]:[Standard Indicator ID Short]], AK$4) &gt; 0, 1, 0)</f>
        <v>0</v>
      </c>
      <c r="AL23" s="232">
        <f>IF(SUMIFS(Table1[[Result for year]:[Result for year]],Table1[[Project reference]:[Project reference]], $A23,Table1[[Standard Indicator ID Short]:[Standard Indicator ID Short]], AL$4) &gt; 0, 1, 0)</f>
        <v>0</v>
      </c>
      <c r="AM23" s="232">
        <f>IF(SUMIFS(Table1[[Result for year]:[Result for year]],Table1[[Project reference]:[Project reference]], $A23,Table1[[Standard Indicator ID Short]:[Standard Indicator ID Short]], AM$4) &gt; 0, 1, 0)</f>
        <v>0</v>
      </c>
      <c r="AN23" s="232">
        <f>IF(SUMIFS(Table1[[Result for year]:[Result for year]],Table1[[Project reference]:[Project reference]], $A23,Table1[[Standard Indicator ID Short]:[Standard Indicator ID Short]], AN$4) &gt; 0, 1, 0)</f>
        <v>0</v>
      </c>
      <c r="AO23" s="232">
        <f>IF(SUMIFS(Table1[[Result for year]:[Result for year]],Table1[[Project reference]:[Project reference]], $A23,Table1[[Standard Indicator ID Short]:[Standard Indicator ID Short]], AO$4) &gt; 0, 1, 0)</f>
        <v>0</v>
      </c>
      <c r="AP23" s="232">
        <f>IF(SUMIFS(Table1[[Result for year]:[Result for year]],Table1[[Project reference]:[Project reference]], $A23,Table1[[Standard Indicator ID Short]:[Standard Indicator ID Short]], AP$4) &gt; 0, 1, 0)</f>
        <v>0</v>
      </c>
      <c r="AQ23" s="232">
        <f>IF(SUMIFS(Table1[[Result for year]:[Result for year]],Table1[[Project reference]:[Project reference]], $A23,Table1[[Standard Indicator ID Short]:[Standard Indicator ID Short]], AQ$4) &gt; 0, 1, 0)</f>
        <v>0</v>
      </c>
      <c r="AR23" s="137">
        <f>IF(SUMIFS(Table1[[Result for year]:[Result for year]],Table1[[Project reference]:[Project reference]], $A23,Table1[[Standard Indicator ID Short]:[Standard Indicator ID Short]], AR$4) &gt; 0, 1, 0)</f>
        <v>0</v>
      </c>
      <c r="AS23" s="232">
        <f>IF(SUMIFS(Table1[[Result for year]:[Result for year]],Table1[[Project reference]:[Project reference]], $A23,Table1[[Standard Indicator ID Short]:[Standard Indicator ID Short]], AS$4) &gt; 0, 1, 0)</f>
        <v>0</v>
      </c>
      <c r="AT23" s="232">
        <f>IF(SUMIFS(Table1[[Result for year]:[Result for year]],Table1[[Project reference]:[Project reference]], $A23,Table1[[Standard Indicator ID Short]:[Standard Indicator ID Short]], AT$4) &gt; 0, 1, 0)</f>
        <v>0</v>
      </c>
      <c r="AU23" s="232">
        <f>IF(SUMIFS(Table1[[Result for year]:[Result for year]],Table1[[Project reference]:[Project reference]], $A23,Table1[[Standard Indicator ID Short]:[Standard Indicator ID Short]], AU$4) &gt; 0, 1, 0)</f>
        <v>0</v>
      </c>
      <c r="AV23" s="232">
        <f>IF(SUMIFS(Table1[[Result for year]:[Result for year]],Table1[[Project reference]:[Project reference]], $A23,Table1[[Standard Indicator ID Short]:[Standard Indicator ID Short]], AV$4) &gt; 0, 1, 0)</f>
        <v>0</v>
      </c>
      <c r="AW23" s="232">
        <f>IF(SUMIFS(Table1[[Result for year]:[Result for year]],Table1[[Project reference]:[Project reference]], $A23,Table1[[Standard Indicator ID Short]:[Standard Indicator ID Short]], AW$4) &gt; 0, 1, 0)</f>
        <v>0</v>
      </c>
      <c r="AX23" s="232">
        <f>IF(SUMIFS(Table1[[Result for year]:[Result for year]],Table1[[Project reference]:[Project reference]], $A23,Table1[[Standard Indicator ID Short]:[Standard Indicator ID Short]], AX$4) &gt; 0, 1, 0)</f>
        <v>0</v>
      </c>
      <c r="AY23" s="232">
        <f>IF(SUMIFS(Table1[[Result for year]:[Result for year]],Table1[[Project reference]:[Project reference]], $A23,Table1[[Standard Indicator ID Short]:[Standard Indicator ID Short]], AY$4) &gt; 0, 1, 0)</f>
        <v>0</v>
      </c>
      <c r="AZ23" s="232">
        <f>IF(SUMIFS(Table1[[Result for year]:[Result for year]],Table1[[Project reference]:[Project reference]], $A23,Table1[[Standard Indicator ID Short]:[Standard Indicator ID Short]], AZ$4) &gt; 0, 1, 0)</f>
        <v>0</v>
      </c>
      <c r="BA23" s="232">
        <f>IF(SUMIFS(Table1[[Result for year]:[Result for year]],Table1[[Project reference]:[Project reference]], $A23,Table1[[Standard Indicator ID Short]:[Standard Indicator ID Short]], BA$4) &gt; 0, 1, 0)</f>
        <v>0</v>
      </c>
      <c r="BB23" s="232">
        <f>IF(SUMIFS(Table1[[Result for year]:[Result for year]],Table1[[Project reference]:[Project reference]], $A23,Table1[[Standard Indicator ID Short]:[Standard Indicator ID Short]], BB$4) &gt; 0, 1, 0)</f>
        <v>0</v>
      </c>
      <c r="BC23" s="232">
        <f>IF(SUMIFS(Table1[[Result for year]:[Result for year]],Table1[[Project reference]:[Project reference]], $A23,Table1[[Standard Indicator ID Short]:[Standard Indicator ID Short]], BC$4) &gt; 0, 1, 0)</f>
        <v>0</v>
      </c>
      <c r="BD23" s="232">
        <f>IF(SUMIFS(Table1[[Result for year]:[Result for year]],Table1[[Project reference]:[Project reference]], $A23,Table1[[Standard Indicator ID Short]:[Standard Indicator ID Short]], BD$4) &gt; 0, 1, 0)</f>
        <v>0</v>
      </c>
      <c r="BE23" s="232">
        <f>IF(SUMIFS(Table1[[Result for year]:[Result for year]],Table1[[Project reference]:[Project reference]], $A23,Table1[[Standard Indicator ID Short]:[Standard Indicator ID Short]], BE$4) &gt; 0, 1, 0)</f>
        <v>0</v>
      </c>
      <c r="BF23" s="232">
        <f>IF(SUMIFS(Table1[[Result for year]:[Result for year]],Table1[[Project reference]:[Project reference]], $A23,Table1[[Standard Indicator ID Short]:[Standard Indicator ID Short]], BF$4) &gt; 0, 1, 0)</f>
        <v>0</v>
      </c>
      <c r="BG23" s="138">
        <f>IF(SUMIFS(Table1[[Result for year]:[Result for year]],Table1[[Project reference]:[Project reference]], $A23,Table1[[Standard Indicator ID Short]:[Standard Indicator ID Short]], BG$4) &gt; 0, 1, 0)</f>
        <v>0</v>
      </c>
      <c r="BH23" s="137">
        <f>IF(SUMIFS(Table1[[Result for year]:[Result for year]],Table1[[Project reference]:[Project reference]], $A23,Table1[[Standard Indicator ID Short]:[Standard Indicator ID Short]], BH$4) &gt; 0, 1, 0)</f>
        <v>0</v>
      </c>
      <c r="BI23" s="232">
        <f>IF(SUMIFS(Table1[[Result for year]:[Result for year]],Table1[[Project reference]:[Project reference]], $A23,Table1[[Standard Indicator ID Short]:[Standard Indicator ID Short]], BI$4) &gt; 0, 1, 0)</f>
        <v>0</v>
      </c>
      <c r="BJ23" s="138">
        <f>IF(SUMIFS(Table1[[Result for year]:[Result for year]],Table1[[Project reference]:[Project reference]], $A23,Table1[[Standard Indicator ID Short]:[Standard Indicator ID Short]], BJ$4) &gt; 0, 1, 0)</f>
        <v>0</v>
      </c>
      <c r="BK23" s="144"/>
      <c r="BL23" s="79"/>
      <c r="BM23" s="148">
        <f t="shared" si="0"/>
        <v>0</v>
      </c>
      <c r="BN23" s="79"/>
      <c r="BO23" s="78"/>
    </row>
    <row r="24" spans="1:67" ht="14.25" customHeight="1" x14ac:dyDescent="0.25">
      <c r="A24" s="170" t="s">
        <v>323</v>
      </c>
      <c r="B24" s="173" t="s">
        <v>421</v>
      </c>
      <c r="C24" s="137">
        <f>IF(SUMIFS(Table1[[Result for year]:[Result for year]],Table1[[Project reference]:[Project reference]], $A24,Table1[[Standard Indicator ID Short]:[Standard Indicator ID Short]], C$4) &gt; 0, 1, 0)</f>
        <v>1</v>
      </c>
      <c r="D24" s="232">
        <f>IF(SUMIFS(Table1[[Result for year]:[Result for year]],Table1[[Project reference]:[Project reference]], $A24,Table1[[Standard Indicator ID Short]:[Standard Indicator ID Short]], D$4) &gt; 0, 1, 0)</f>
        <v>0</v>
      </c>
      <c r="E24" s="232">
        <f>IF(SUMIFS(Table1[[Result for year]:[Result for year]],Table1[[Project reference]:[Project reference]], $A24,Table1[[Standard Indicator ID Short]:[Standard Indicator ID Short]], E$4) &gt; 0, 1, 0)</f>
        <v>0</v>
      </c>
      <c r="F24" s="232">
        <f>IF(SUMIFS(Table1[[Result for year]:[Result for year]],Table1[[Project reference]:[Project reference]], $A24,Table1[[Standard Indicator ID Short]:[Standard Indicator ID Short]], F$4) &gt; 0, 1, 0)</f>
        <v>0</v>
      </c>
      <c r="G24" s="232">
        <f>IF(SUMIFS(Table1[[Result for year]:[Result for year]],Table1[[Project reference]:[Project reference]], $A24,Table1[[Standard Indicator ID Short]:[Standard Indicator ID Short]], G$4) &gt; 0, 1, 0)</f>
        <v>0</v>
      </c>
      <c r="H24" s="232">
        <f>IF(SUMIFS(Table1[[Result for year]:[Result for year]],Table1[[Project reference]:[Project reference]], $A24,Table1[[Standard Indicator ID Short]:[Standard Indicator ID Short]], H$4) &gt; 0, 1, 0)</f>
        <v>0</v>
      </c>
      <c r="I24" s="232">
        <f>IF(SUMIFS(Table1[[Result for year]:[Result for year]],Table1[[Project reference]:[Project reference]], $A24,Table1[[Standard Indicator ID Short]:[Standard Indicator ID Short]], I$4) &gt; 0, 1, 0)</f>
        <v>0</v>
      </c>
      <c r="J24" s="232">
        <f>IF(SUMIFS(Table1[[Result for year]:[Result for year]],Table1[[Project reference]:[Project reference]], $A24,Table1[[Standard Indicator ID Short]:[Standard Indicator ID Short]], J$4) &gt; 0, 1, 0)</f>
        <v>0</v>
      </c>
      <c r="K24" s="232">
        <f>IF(SUMIFS(Table1[[Result for year]:[Result for year]],Table1[[Project reference]:[Project reference]], $A24,Table1[[Standard Indicator ID Short]:[Standard Indicator ID Short]], K$4) &gt; 0, 1, 0)</f>
        <v>0</v>
      </c>
      <c r="L24" s="232">
        <f>IF(SUMIFS(Table1[[Result for year]:[Result for year]],Table1[[Project reference]:[Project reference]], $A24,Table1[[Standard Indicator ID Short]:[Standard Indicator ID Short]], L$4) &gt; 0, 1, 0)</f>
        <v>0</v>
      </c>
      <c r="M24" s="137">
        <f>IF(SUMIFS(Table1[[Result for year]:[Result for year]],Table1[[Project reference]:[Project reference]], $A24,Table1[[Standard Indicator ID Short]:[Standard Indicator ID Short]], M$4) &gt; 0, 1, 0)</f>
        <v>0</v>
      </c>
      <c r="N24" s="232">
        <f>IF(SUMIFS(Table1[[Result for year]:[Result for year]],Table1[[Project reference]:[Project reference]], $A24,Table1[[Standard Indicator ID Short]:[Standard Indicator ID Short]], N$4) &gt; 0, 1, 0)</f>
        <v>0</v>
      </c>
      <c r="O24" s="232">
        <f>IF(SUMIFS(Table1[[Result for year]:[Result for year]],Table1[[Project reference]:[Project reference]], $A24,Table1[[Standard Indicator ID Short]:[Standard Indicator ID Short]], O$4) &gt; 0, 1, 0)</f>
        <v>0</v>
      </c>
      <c r="P24" s="232">
        <f>IF(SUMIFS(Table1[[Result for year]:[Result for year]],Table1[[Project reference]:[Project reference]], $A24,Table1[[Standard Indicator ID Short]:[Standard Indicator ID Short]], P$4) &gt; 0, 1, 0)</f>
        <v>0</v>
      </c>
      <c r="Q24" s="232">
        <f>IF(SUMIFS(Table1[[Result for year]:[Result for year]],Table1[[Project reference]:[Project reference]], $A24,Table1[[Standard Indicator ID Short]:[Standard Indicator ID Short]], Q$4) &gt; 0, 1, 0)</f>
        <v>0</v>
      </c>
      <c r="R24" s="232">
        <f>IF(SUMIFS(Table1[[Result for year]:[Result for year]],Table1[[Project reference]:[Project reference]], $A24,Table1[[Standard Indicator ID Short]:[Standard Indicator ID Short]], R$4) &gt; 0, 1, 0)</f>
        <v>0</v>
      </c>
      <c r="S24" s="232">
        <f>IF(SUMIFS(Table1[[Result for year]:[Result for year]],Table1[[Project reference]:[Project reference]], $A24,Table1[[Standard Indicator ID Short]:[Standard Indicator ID Short]], S$4) &gt; 0, 1, 0)</f>
        <v>0</v>
      </c>
      <c r="T24" s="232">
        <f>IF(SUMIFS(Table1[[Result for year]:[Result for year]],Table1[[Project reference]:[Project reference]], $A24,Table1[[Standard Indicator ID Short]:[Standard Indicator ID Short]], T$4) &gt; 0, 1, 0)</f>
        <v>0</v>
      </c>
      <c r="U24" s="232">
        <f>IF(SUMIFS(Table1[[Result for year]:[Result for year]],Table1[[Project reference]:[Project reference]], $A24,Table1[[Standard Indicator ID Short]:[Standard Indicator ID Short]], U$4) &gt; 0, 1, 0)</f>
        <v>0</v>
      </c>
      <c r="V24" s="232">
        <f>IF(SUMIFS(Table1[[Result for year]:[Result for year]],Table1[[Project reference]:[Project reference]], $A24,Table1[[Standard Indicator ID Short]:[Standard Indicator ID Short]], V$4) &gt; 0, 1, 0)</f>
        <v>0</v>
      </c>
      <c r="W24" s="232">
        <f>IF(SUMIFS(Table1[[Result for year]:[Result for year]],Table1[[Project reference]:[Project reference]], $A24,Table1[[Standard Indicator ID Short]:[Standard Indicator ID Short]], W$4) &gt; 0, 1, 0)</f>
        <v>0</v>
      </c>
      <c r="X24" s="232">
        <f>IF(SUMIFS(Table1[[Result for year]:[Result for year]],Table1[[Project reference]:[Project reference]], $A24,Table1[[Standard Indicator ID Short]:[Standard Indicator ID Short]], X$4) &gt; 0, 1, 0)</f>
        <v>0</v>
      </c>
      <c r="Y24" s="137">
        <f>IF(SUMIFS(Table1[[Result for year]:[Result for year]],Table1[[Project reference]:[Project reference]], $A24,Table1[[Standard Indicator ID Short]:[Standard Indicator ID Short]], Y$4) &gt; 0, 1, 0)</f>
        <v>0</v>
      </c>
      <c r="Z24" s="232">
        <f>IF(SUMIFS(Table1[[Result for year]:[Result for year]],Table1[[Project reference]:[Project reference]], $A24,Table1[[Standard Indicator ID Short]:[Standard Indicator ID Short]], Z$4) &gt; 0, 1, 0)</f>
        <v>0</v>
      </c>
      <c r="AA24" s="232">
        <f>IF(SUMIFS(Table1[[Result for year]:[Result for year]],Table1[[Project reference]:[Project reference]], $A24,Table1[[Standard Indicator ID Short]:[Standard Indicator ID Short]], AA$4) &gt; 0, 1, 0)</f>
        <v>0</v>
      </c>
      <c r="AB24" s="232">
        <f>IF(SUMIFS(Table1[[Result for year]:[Result for year]],Table1[[Project reference]:[Project reference]], $A24,Table1[[Standard Indicator ID Short]:[Standard Indicator ID Short]], AB$4) &gt; 0, 1, 0)</f>
        <v>0</v>
      </c>
      <c r="AC24" s="232">
        <f>IF(SUMIFS(Table1[[Result for year]:[Result for year]],Table1[[Project reference]:[Project reference]], $A24,Table1[[Standard Indicator ID Short]:[Standard Indicator ID Short]], AC$4) &gt; 0, 1, 0)</f>
        <v>0</v>
      </c>
      <c r="AD24" s="232">
        <f>IF(SUMIFS(Table1[[Result for year]:[Result for year]],Table1[[Project reference]:[Project reference]], $A24,Table1[[Standard Indicator ID Short]:[Standard Indicator ID Short]], AD$4) &gt; 0, 1, 0)</f>
        <v>0</v>
      </c>
      <c r="AE24" s="232">
        <f>IF(SUMIFS(Table1[[Result for year]:[Result for year]],Table1[[Project reference]:[Project reference]], $A24,Table1[[Standard Indicator ID Short]:[Standard Indicator ID Short]], AE$4) &gt; 0, 1, 0)</f>
        <v>0</v>
      </c>
      <c r="AF24" s="232">
        <f>IF(SUMIFS(Table1[[Result for year]:[Result for year]],Table1[[Project reference]:[Project reference]], $A24,Table1[[Standard Indicator ID Short]:[Standard Indicator ID Short]], AF$4) &gt; 0, 1, 0)</f>
        <v>0</v>
      </c>
      <c r="AG24" s="232">
        <f>IF(SUMIFS(Table1[[Result for year]:[Result for year]],Table1[[Project reference]:[Project reference]], $A24,Table1[[Standard Indicator ID Short]:[Standard Indicator ID Short]], AG$4) &gt; 0, 1, 0)</f>
        <v>1</v>
      </c>
      <c r="AH24" s="232">
        <f>IF(SUMIFS(Table1[[Result for year]:[Result for year]],Table1[[Project reference]:[Project reference]], $A24,Table1[[Standard Indicator ID Short]:[Standard Indicator ID Short]], AH$4) &gt; 0, 1, 0)</f>
        <v>0</v>
      </c>
      <c r="AI24" s="232">
        <f>IF(SUMIFS(Table1[[Result for year]:[Result for year]],Table1[[Project reference]:[Project reference]], $A24,Table1[[Standard Indicator ID Short]:[Standard Indicator ID Short]], AI$4) &gt; 0, 1, 0)</f>
        <v>0</v>
      </c>
      <c r="AJ24" s="232">
        <f>IF(SUMIFS(Table1[[Result for year]:[Result for year]],Table1[[Project reference]:[Project reference]], $A24,Table1[[Standard Indicator ID Short]:[Standard Indicator ID Short]], AJ$4) &gt; 0, 1, 0)</f>
        <v>0</v>
      </c>
      <c r="AK24" s="232">
        <f>IF(SUMIFS(Table1[[Result for year]:[Result for year]],Table1[[Project reference]:[Project reference]], $A24,Table1[[Standard Indicator ID Short]:[Standard Indicator ID Short]], AK$4) &gt; 0, 1, 0)</f>
        <v>0</v>
      </c>
      <c r="AL24" s="232">
        <f>IF(SUMIFS(Table1[[Result for year]:[Result for year]],Table1[[Project reference]:[Project reference]], $A24,Table1[[Standard Indicator ID Short]:[Standard Indicator ID Short]], AL$4) &gt; 0, 1, 0)</f>
        <v>0</v>
      </c>
      <c r="AM24" s="232">
        <f>IF(SUMIFS(Table1[[Result for year]:[Result for year]],Table1[[Project reference]:[Project reference]], $A24,Table1[[Standard Indicator ID Short]:[Standard Indicator ID Short]], AM$4) &gt; 0, 1, 0)</f>
        <v>0</v>
      </c>
      <c r="AN24" s="232">
        <f>IF(SUMIFS(Table1[[Result for year]:[Result for year]],Table1[[Project reference]:[Project reference]], $A24,Table1[[Standard Indicator ID Short]:[Standard Indicator ID Short]], AN$4) &gt; 0, 1, 0)</f>
        <v>0</v>
      </c>
      <c r="AO24" s="232">
        <f>IF(SUMIFS(Table1[[Result for year]:[Result for year]],Table1[[Project reference]:[Project reference]], $A24,Table1[[Standard Indicator ID Short]:[Standard Indicator ID Short]], AO$4) &gt; 0, 1, 0)</f>
        <v>0</v>
      </c>
      <c r="AP24" s="232">
        <f>IF(SUMIFS(Table1[[Result for year]:[Result for year]],Table1[[Project reference]:[Project reference]], $A24,Table1[[Standard Indicator ID Short]:[Standard Indicator ID Short]], AP$4) &gt; 0, 1, 0)</f>
        <v>0</v>
      </c>
      <c r="AQ24" s="232">
        <f>IF(SUMIFS(Table1[[Result for year]:[Result for year]],Table1[[Project reference]:[Project reference]], $A24,Table1[[Standard Indicator ID Short]:[Standard Indicator ID Short]], AQ$4) &gt; 0, 1, 0)</f>
        <v>0</v>
      </c>
      <c r="AR24" s="137">
        <f>IF(SUMIFS(Table1[[Result for year]:[Result for year]],Table1[[Project reference]:[Project reference]], $A24,Table1[[Standard Indicator ID Short]:[Standard Indicator ID Short]], AR$4) &gt; 0, 1, 0)</f>
        <v>0</v>
      </c>
      <c r="AS24" s="232">
        <f>IF(SUMIFS(Table1[[Result for year]:[Result for year]],Table1[[Project reference]:[Project reference]], $A24,Table1[[Standard Indicator ID Short]:[Standard Indicator ID Short]], AS$4) &gt; 0, 1, 0)</f>
        <v>0</v>
      </c>
      <c r="AT24" s="232">
        <f>IF(SUMIFS(Table1[[Result for year]:[Result for year]],Table1[[Project reference]:[Project reference]], $A24,Table1[[Standard Indicator ID Short]:[Standard Indicator ID Short]], AT$4) &gt; 0, 1, 0)</f>
        <v>0</v>
      </c>
      <c r="AU24" s="232">
        <f>IF(SUMIFS(Table1[[Result for year]:[Result for year]],Table1[[Project reference]:[Project reference]], $A24,Table1[[Standard Indicator ID Short]:[Standard Indicator ID Short]], AU$4) &gt; 0, 1, 0)</f>
        <v>0</v>
      </c>
      <c r="AV24" s="232">
        <f>IF(SUMIFS(Table1[[Result for year]:[Result for year]],Table1[[Project reference]:[Project reference]], $A24,Table1[[Standard Indicator ID Short]:[Standard Indicator ID Short]], AV$4) &gt; 0, 1, 0)</f>
        <v>0</v>
      </c>
      <c r="AW24" s="232">
        <f>IF(SUMIFS(Table1[[Result for year]:[Result for year]],Table1[[Project reference]:[Project reference]], $A24,Table1[[Standard Indicator ID Short]:[Standard Indicator ID Short]], AW$4) &gt; 0, 1, 0)</f>
        <v>0</v>
      </c>
      <c r="AX24" s="232">
        <f>IF(SUMIFS(Table1[[Result for year]:[Result for year]],Table1[[Project reference]:[Project reference]], $A24,Table1[[Standard Indicator ID Short]:[Standard Indicator ID Short]], AX$4) &gt; 0, 1, 0)</f>
        <v>0</v>
      </c>
      <c r="AY24" s="232">
        <f>IF(SUMIFS(Table1[[Result for year]:[Result for year]],Table1[[Project reference]:[Project reference]], $A24,Table1[[Standard Indicator ID Short]:[Standard Indicator ID Short]], AY$4) &gt; 0, 1, 0)</f>
        <v>0</v>
      </c>
      <c r="AZ24" s="232">
        <f>IF(SUMIFS(Table1[[Result for year]:[Result for year]],Table1[[Project reference]:[Project reference]], $A24,Table1[[Standard Indicator ID Short]:[Standard Indicator ID Short]], AZ$4) &gt; 0, 1, 0)</f>
        <v>0</v>
      </c>
      <c r="BA24" s="232">
        <f>IF(SUMIFS(Table1[[Result for year]:[Result for year]],Table1[[Project reference]:[Project reference]], $A24,Table1[[Standard Indicator ID Short]:[Standard Indicator ID Short]], BA$4) &gt; 0, 1, 0)</f>
        <v>0</v>
      </c>
      <c r="BB24" s="232">
        <f>IF(SUMIFS(Table1[[Result for year]:[Result for year]],Table1[[Project reference]:[Project reference]], $A24,Table1[[Standard Indicator ID Short]:[Standard Indicator ID Short]], BB$4) &gt; 0, 1, 0)</f>
        <v>0</v>
      </c>
      <c r="BC24" s="232">
        <f>IF(SUMIFS(Table1[[Result for year]:[Result for year]],Table1[[Project reference]:[Project reference]], $A24,Table1[[Standard Indicator ID Short]:[Standard Indicator ID Short]], BC$4) &gt; 0, 1, 0)</f>
        <v>0</v>
      </c>
      <c r="BD24" s="232">
        <f>IF(SUMIFS(Table1[[Result for year]:[Result for year]],Table1[[Project reference]:[Project reference]], $A24,Table1[[Standard Indicator ID Short]:[Standard Indicator ID Short]], BD$4) &gt; 0, 1, 0)</f>
        <v>0</v>
      </c>
      <c r="BE24" s="232">
        <f>IF(SUMIFS(Table1[[Result for year]:[Result for year]],Table1[[Project reference]:[Project reference]], $A24,Table1[[Standard Indicator ID Short]:[Standard Indicator ID Short]], BE$4) &gt; 0, 1, 0)</f>
        <v>0</v>
      </c>
      <c r="BF24" s="232">
        <f>IF(SUMIFS(Table1[[Result for year]:[Result for year]],Table1[[Project reference]:[Project reference]], $A24,Table1[[Standard Indicator ID Short]:[Standard Indicator ID Short]], BF$4) &gt; 0, 1, 0)</f>
        <v>0</v>
      </c>
      <c r="BG24" s="138">
        <f>IF(SUMIFS(Table1[[Result for year]:[Result for year]],Table1[[Project reference]:[Project reference]], $A24,Table1[[Standard Indicator ID Short]:[Standard Indicator ID Short]], BG$4) &gt; 0, 1, 0)</f>
        <v>0</v>
      </c>
      <c r="BH24" s="137">
        <f>IF(SUMIFS(Table1[[Result for year]:[Result for year]],Table1[[Project reference]:[Project reference]], $A24,Table1[[Standard Indicator ID Short]:[Standard Indicator ID Short]], BH$4) &gt; 0, 1, 0)</f>
        <v>0</v>
      </c>
      <c r="BI24" s="232">
        <f>IF(SUMIFS(Table1[[Result for year]:[Result for year]],Table1[[Project reference]:[Project reference]], $A24,Table1[[Standard Indicator ID Short]:[Standard Indicator ID Short]], BI$4) &gt; 0, 1, 0)</f>
        <v>0</v>
      </c>
      <c r="BJ24" s="138">
        <f>IF(SUMIFS(Table1[[Result for year]:[Result for year]],Table1[[Project reference]:[Project reference]], $A24,Table1[[Standard Indicator ID Short]:[Standard Indicator ID Short]], BJ$4) &gt; 0, 1, 0)</f>
        <v>0</v>
      </c>
      <c r="BK24" s="144"/>
      <c r="BL24" s="79"/>
      <c r="BM24" s="148">
        <f t="shared" si="0"/>
        <v>2</v>
      </c>
      <c r="BN24" s="79"/>
      <c r="BO24" s="78"/>
    </row>
    <row r="25" spans="1:67" ht="14.25" customHeight="1" x14ac:dyDescent="0.25">
      <c r="A25" s="170" t="s">
        <v>324</v>
      </c>
      <c r="B25" s="173" t="s">
        <v>422</v>
      </c>
      <c r="C25" s="137">
        <f>IF(SUMIFS(Table1[[Result for year]:[Result for year]],Table1[[Project reference]:[Project reference]], $A25,Table1[[Standard Indicator ID Short]:[Standard Indicator ID Short]], C$4) &gt; 0, 1, 0)</f>
        <v>0</v>
      </c>
      <c r="D25" s="232">
        <f>IF(SUMIFS(Table1[[Result for year]:[Result for year]],Table1[[Project reference]:[Project reference]], $A25,Table1[[Standard Indicator ID Short]:[Standard Indicator ID Short]], D$4) &gt; 0, 1, 0)</f>
        <v>0</v>
      </c>
      <c r="E25" s="232">
        <f>IF(SUMIFS(Table1[[Result for year]:[Result for year]],Table1[[Project reference]:[Project reference]], $A25,Table1[[Standard Indicator ID Short]:[Standard Indicator ID Short]], E$4) &gt; 0, 1, 0)</f>
        <v>0</v>
      </c>
      <c r="F25" s="232">
        <f>IF(SUMIFS(Table1[[Result for year]:[Result for year]],Table1[[Project reference]:[Project reference]], $A25,Table1[[Standard Indicator ID Short]:[Standard Indicator ID Short]], F$4) &gt; 0, 1, 0)</f>
        <v>0</v>
      </c>
      <c r="G25" s="232">
        <f>IF(SUMIFS(Table1[[Result for year]:[Result for year]],Table1[[Project reference]:[Project reference]], $A25,Table1[[Standard Indicator ID Short]:[Standard Indicator ID Short]], G$4) &gt; 0, 1, 0)</f>
        <v>0</v>
      </c>
      <c r="H25" s="232">
        <f>IF(SUMIFS(Table1[[Result for year]:[Result for year]],Table1[[Project reference]:[Project reference]], $A25,Table1[[Standard Indicator ID Short]:[Standard Indicator ID Short]], H$4) &gt; 0, 1, 0)</f>
        <v>0</v>
      </c>
      <c r="I25" s="232">
        <f>IF(SUMIFS(Table1[[Result for year]:[Result for year]],Table1[[Project reference]:[Project reference]], $A25,Table1[[Standard Indicator ID Short]:[Standard Indicator ID Short]], I$4) &gt; 0, 1, 0)</f>
        <v>1</v>
      </c>
      <c r="J25" s="232">
        <f>IF(SUMIFS(Table1[[Result for year]:[Result for year]],Table1[[Project reference]:[Project reference]], $A25,Table1[[Standard Indicator ID Short]:[Standard Indicator ID Short]], J$4) &gt; 0, 1, 0)</f>
        <v>0</v>
      </c>
      <c r="K25" s="232">
        <f>IF(SUMIFS(Table1[[Result for year]:[Result for year]],Table1[[Project reference]:[Project reference]], $A25,Table1[[Standard Indicator ID Short]:[Standard Indicator ID Short]], K$4) &gt; 0, 1, 0)</f>
        <v>0</v>
      </c>
      <c r="L25" s="232">
        <f>IF(SUMIFS(Table1[[Result for year]:[Result for year]],Table1[[Project reference]:[Project reference]], $A25,Table1[[Standard Indicator ID Short]:[Standard Indicator ID Short]], L$4) &gt; 0, 1, 0)</f>
        <v>0</v>
      </c>
      <c r="M25" s="137">
        <f>IF(SUMIFS(Table1[[Result for year]:[Result for year]],Table1[[Project reference]:[Project reference]], $A25,Table1[[Standard Indicator ID Short]:[Standard Indicator ID Short]], M$4) &gt; 0, 1, 0)</f>
        <v>0</v>
      </c>
      <c r="N25" s="232">
        <f>IF(SUMIFS(Table1[[Result for year]:[Result for year]],Table1[[Project reference]:[Project reference]], $A25,Table1[[Standard Indicator ID Short]:[Standard Indicator ID Short]], N$4) &gt; 0, 1, 0)</f>
        <v>0</v>
      </c>
      <c r="O25" s="232">
        <f>IF(SUMIFS(Table1[[Result for year]:[Result for year]],Table1[[Project reference]:[Project reference]], $A25,Table1[[Standard Indicator ID Short]:[Standard Indicator ID Short]], O$4) &gt; 0, 1, 0)</f>
        <v>0</v>
      </c>
      <c r="P25" s="232">
        <f>IF(SUMIFS(Table1[[Result for year]:[Result for year]],Table1[[Project reference]:[Project reference]], $A25,Table1[[Standard Indicator ID Short]:[Standard Indicator ID Short]], P$4) &gt; 0, 1, 0)</f>
        <v>0</v>
      </c>
      <c r="Q25" s="232">
        <f>IF(SUMIFS(Table1[[Result for year]:[Result for year]],Table1[[Project reference]:[Project reference]], $A25,Table1[[Standard Indicator ID Short]:[Standard Indicator ID Short]], Q$4) &gt; 0, 1, 0)</f>
        <v>0</v>
      </c>
      <c r="R25" s="232">
        <f>IF(SUMIFS(Table1[[Result for year]:[Result for year]],Table1[[Project reference]:[Project reference]], $A25,Table1[[Standard Indicator ID Short]:[Standard Indicator ID Short]], R$4) &gt; 0, 1, 0)</f>
        <v>0</v>
      </c>
      <c r="S25" s="232">
        <f>IF(SUMIFS(Table1[[Result for year]:[Result for year]],Table1[[Project reference]:[Project reference]], $A25,Table1[[Standard Indicator ID Short]:[Standard Indicator ID Short]], S$4) &gt; 0, 1, 0)</f>
        <v>0</v>
      </c>
      <c r="T25" s="232">
        <f>IF(SUMIFS(Table1[[Result for year]:[Result for year]],Table1[[Project reference]:[Project reference]], $A25,Table1[[Standard Indicator ID Short]:[Standard Indicator ID Short]], T$4) &gt; 0, 1, 0)</f>
        <v>0</v>
      </c>
      <c r="U25" s="232">
        <f>IF(SUMIFS(Table1[[Result for year]:[Result for year]],Table1[[Project reference]:[Project reference]], $A25,Table1[[Standard Indicator ID Short]:[Standard Indicator ID Short]], U$4) &gt; 0, 1, 0)</f>
        <v>0</v>
      </c>
      <c r="V25" s="232">
        <f>IF(SUMIFS(Table1[[Result for year]:[Result for year]],Table1[[Project reference]:[Project reference]], $A25,Table1[[Standard Indicator ID Short]:[Standard Indicator ID Short]], V$4) &gt; 0, 1, 0)</f>
        <v>0</v>
      </c>
      <c r="W25" s="232">
        <f>IF(SUMIFS(Table1[[Result for year]:[Result for year]],Table1[[Project reference]:[Project reference]], $A25,Table1[[Standard Indicator ID Short]:[Standard Indicator ID Short]], W$4) &gt; 0, 1, 0)</f>
        <v>0</v>
      </c>
      <c r="X25" s="232">
        <f>IF(SUMIFS(Table1[[Result for year]:[Result for year]],Table1[[Project reference]:[Project reference]], $A25,Table1[[Standard Indicator ID Short]:[Standard Indicator ID Short]], X$4) &gt; 0, 1, 0)</f>
        <v>0</v>
      </c>
      <c r="Y25" s="137">
        <f>IF(SUMIFS(Table1[[Result for year]:[Result for year]],Table1[[Project reference]:[Project reference]], $A25,Table1[[Standard Indicator ID Short]:[Standard Indicator ID Short]], Y$4) &gt; 0, 1, 0)</f>
        <v>0</v>
      </c>
      <c r="Z25" s="232">
        <f>IF(SUMIFS(Table1[[Result for year]:[Result for year]],Table1[[Project reference]:[Project reference]], $A25,Table1[[Standard Indicator ID Short]:[Standard Indicator ID Short]], Z$4) &gt; 0, 1, 0)</f>
        <v>0</v>
      </c>
      <c r="AA25" s="232">
        <f>IF(SUMIFS(Table1[[Result for year]:[Result for year]],Table1[[Project reference]:[Project reference]], $A25,Table1[[Standard Indicator ID Short]:[Standard Indicator ID Short]], AA$4) &gt; 0, 1, 0)</f>
        <v>0</v>
      </c>
      <c r="AB25" s="232">
        <f>IF(SUMIFS(Table1[[Result for year]:[Result for year]],Table1[[Project reference]:[Project reference]], $A25,Table1[[Standard Indicator ID Short]:[Standard Indicator ID Short]], AB$4) &gt; 0, 1, 0)</f>
        <v>0</v>
      </c>
      <c r="AC25" s="232">
        <f>IF(SUMIFS(Table1[[Result for year]:[Result for year]],Table1[[Project reference]:[Project reference]], $A25,Table1[[Standard Indicator ID Short]:[Standard Indicator ID Short]], AC$4) &gt; 0, 1, 0)</f>
        <v>0</v>
      </c>
      <c r="AD25" s="232">
        <f>IF(SUMIFS(Table1[[Result for year]:[Result for year]],Table1[[Project reference]:[Project reference]], $A25,Table1[[Standard Indicator ID Short]:[Standard Indicator ID Short]], AD$4) &gt; 0, 1, 0)</f>
        <v>0</v>
      </c>
      <c r="AE25" s="232">
        <f>IF(SUMIFS(Table1[[Result for year]:[Result for year]],Table1[[Project reference]:[Project reference]], $A25,Table1[[Standard Indicator ID Short]:[Standard Indicator ID Short]], AE$4) &gt; 0, 1, 0)</f>
        <v>0</v>
      </c>
      <c r="AF25" s="232">
        <f>IF(SUMIFS(Table1[[Result for year]:[Result for year]],Table1[[Project reference]:[Project reference]], $A25,Table1[[Standard Indicator ID Short]:[Standard Indicator ID Short]], AF$4) &gt; 0, 1, 0)</f>
        <v>0</v>
      </c>
      <c r="AG25" s="232">
        <f>IF(SUMIFS(Table1[[Result for year]:[Result for year]],Table1[[Project reference]:[Project reference]], $A25,Table1[[Standard Indicator ID Short]:[Standard Indicator ID Short]], AG$4) &gt; 0, 1, 0)</f>
        <v>0</v>
      </c>
      <c r="AH25" s="232">
        <f>IF(SUMIFS(Table1[[Result for year]:[Result for year]],Table1[[Project reference]:[Project reference]], $A25,Table1[[Standard Indicator ID Short]:[Standard Indicator ID Short]], AH$4) &gt; 0, 1, 0)</f>
        <v>0</v>
      </c>
      <c r="AI25" s="232">
        <f>IF(SUMIFS(Table1[[Result for year]:[Result for year]],Table1[[Project reference]:[Project reference]], $A25,Table1[[Standard Indicator ID Short]:[Standard Indicator ID Short]], AI$4) &gt; 0, 1, 0)</f>
        <v>0</v>
      </c>
      <c r="AJ25" s="232">
        <f>IF(SUMIFS(Table1[[Result for year]:[Result for year]],Table1[[Project reference]:[Project reference]], $A25,Table1[[Standard Indicator ID Short]:[Standard Indicator ID Short]], AJ$4) &gt; 0, 1, 0)</f>
        <v>0</v>
      </c>
      <c r="AK25" s="232">
        <f>IF(SUMIFS(Table1[[Result for year]:[Result for year]],Table1[[Project reference]:[Project reference]], $A25,Table1[[Standard Indicator ID Short]:[Standard Indicator ID Short]], AK$4) &gt; 0, 1, 0)</f>
        <v>0</v>
      </c>
      <c r="AL25" s="232">
        <f>IF(SUMIFS(Table1[[Result for year]:[Result for year]],Table1[[Project reference]:[Project reference]], $A25,Table1[[Standard Indicator ID Short]:[Standard Indicator ID Short]], AL$4) &gt; 0, 1, 0)</f>
        <v>0</v>
      </c>
      <c r="AM25" s="232">
        <f>IF(SUMIFS(Table1[[Result for year]:[Result for year]],Table1[[Project reference]:[Project reference]], $A25,Table1[[Standard Indicator ID Short]:[Standard Indicator ID Short]], AM$4) &gt; 0, 1, 0)</f>
        <v>1</v>
      </c>
      <c r="AN25" s="232">
        <f>IF(SUMIFS(Table1[[Result for year]:[Result for year]],Table1[[Project reference]:[Project reference]], $A25,Table1[[Standard Indicator ID Short]:[Standard Indicator ID Short]], AN$4) &gt; 0, 1, 0)</f>
        <v>0</v>
      </c>
      <c r="AO25" s="232">
        <f>IF(SUMIFS(Table1[[Result for year]:[Result for year]],Table1[[Project reference]:[Project reference]], $A25,Table1[[Standard Indicator ID Short]:[Standard Indicator ID Short]], AO$4) &gt; 0, 1, 0)</f>
        <v>0</v>
      </c>
      <c r="AP25" s="232">
        <f>IF(SUMIFS(Table1[[Result for year]:[Result for year]],Table1[[Project reference]:[Project reference]], $A25,Table1[[Standard Indicator ID Short]:[Standard Indicator ID Short]], AP$4) &gt; 0, 1, 0)</f>
        <v>0</v>
      </c>
      <c r="AQ25" s="232">
        <f>IF(SUMIFS(Table1[[Result for year]:[Result for year]],Table1[[Project reference]:[Project reference]], $A25,Table1[[Standard Indicator ID Short]:[Standard Indicator ID Short]], AQ$4) &gt; 0, 1, 0)</f>
        <v>0</v>
      </c>
      <c r="AR25" s="137">
        <f>IF(SUMIFS(Table1[[Result for year]:[Result for year]],Table1[[Project reference]:[Project reference]], $A25,Table1[[Standard Indicator ID Short]:[Standard Indicator ID Short]], AR$4) &gt; 0, 1, 0)</f>
        <v>0</v>
      </c>
      <c r="AS25" s="232">
        <f>IF(SUMIFS(Table1[[Result for year]:[Result for year]],Table1[[Project reference]:[Project reference]], $A25,Table1[[Standard Indicator ID Short]:[Standard Indicator ID Short]], AS$4) &gt; 0, 1, 0)</f>
        <v>0</v>
      </c>
      <c r="AT25" s="232">
        <f>IF(SUMIFS(Table1[[Result for year]:[Result for year]],Table1[[Project reference]:[Project reference]], $A25,Table1[[Standard Indicator ID Short]:[Standard Indicator ID Short]], AT$4) &gt; 0, 1, 0)</f>
        <v>0</v>
      </c>
      <c r="AU25" s="232">
        <f>IF(SUMIFS(Table1[[Result for year]:[Result for year]],Table1[[Project reference]:[Project reference]], $A25,Table1[[Standard Indicator ID Short]:[Standard Indicator ID Short]], AU$4) &gt; 0, 1, 0)</f>
        <v>0</v>
      </c>
      <c r="AV25" s="232">
        <f>IF(SUMIFS(Table1[[Result for year]:[Result for year]],Table1[[Project reference]:[Project reference]], $A25,Table1[[Standard Indicator ID Short]:[Standard Indicator ID Short]], AV$4) &gt; 0, 1, 0)</f>
        <v>0</v>
      </c>
      <c r="AW25" s="232">
        <f>IF(SUMIFS(Table1[[Result for year]:[Result for year]],Table1[[Project reference]:[Project reference]], $A25,Table1[[Standard Indicator ID Short]:[Standard Indicator ID Short]], AW$4) &gt; 0, 1, 0)</f>
        <v>0</v>
      </c>
      <c r="AX25" s="232">
        <f>IF(SUMIFS(Table1[[Result for year]:[Result for year]],Table1[[Project reference]:[Project reference]], $A25,Table1[[Standard Indicator ID Short]:[Standard Indicator ID Short]], AX$4) &gt; 0, 1, 0)</f>
        <v>0</v>
      </c>
      <c r="AY25" s="232">
        <f>IF(SUMIFS(Table1[[Result for year]:[Result for year]],Table1[[Project reference]:[Project reference]], $A25,Table1[[Standard Indicator ID Short]:[Standard Indicator ID Short]], AY$4) &gt; 0, 1, 0)</f>
        <v>0</v>
      </c>
      <c r="AZ25" s="232">
        <f>IF(SUMIFS(Table1[[Result for year]:[Result for year]],Table1[[Project reference]:[Project reference]], $A25,Table1[[Standard Indicator ID Short]:[Standard Indicator ID Short]], AZ$4) &gt; 0, 1, 0)</f>
        <v>0</v>
      </c>
      <c r="BA25" s="232">
        <f>IF(SUMIFS(Table1[[Result for year]:[Result for year]],Table1[[Project reference]:[Project reference]], $A25,Table1[[Standard Indicator ID Short]:[Standard Indicator ID Short]], BA$4) &gt; 0, 1, 0)</f>
        <v>0</v>
      </c>
      <c r="BB25" s="232">
        <f>IF(SUMIFS(Table1[[Result for year]:[Result for year]],Table1[[Project reference]:[Project reference]], $A25,Table1[[Standard Indicator ID Short]:[Standard Indicator ID Short]], BB$4) &gt; 0, 1, 0)</f>
        <v>0</v>
      </c>
      <c r="BC25" s="232">
        <f>IF(SUMIFS(Table1[[Result for year]:[Result for year]],Table1[[Project reference]:[Project reference]], $A25,Table1[[Standard Indicator ID Short]:[Standard Indicator ID Short]], BC$4) &gt; 0, 1, 0)</f>
        <v>0</v>
      </c>
      <c r="BD25" s="232">
        <f>IF(SUMIFS(Table1[[Result for year]:[Result for year]],Table1[[Project reference]:[Project reference]], $A25,Table1[[Standard Indicator ID Short]:[Standard Indicator ID Short]], BD$4) &gt; 0, 1, 0)</f>
        <v>0</v>
      </c>
      <c r="BE25" s="232">
        <f>IF(SUMIFS(Table1[[Result for year]:[Result for year]],Table1[[Project reference]:[Project reference]], $A25,Table1[[Standard Indicator ID Short]:[Standard Indicator ID Short]], BE$4) &gt; 0, 1, 0)</f>
        <v>0</v>
      </c>
      <c r="BF25" s="232">
        <f>IF(SUMIFS(Table1[[Result for year]:[Result for year]],Table1[[Project reference]:[Project reference]], $A25,Table1[[Standard Indicator ID Short]:[Standard Indicator ID Short]], BF$4) &gt; 0, 1, 0)</f>
        <v>0</v>
      </c>
      <c r="BG25" s="138">
        <f>IF(SUMIFS(Table1[[Result for year]:[Result for year]],Table1[[Project reference]:[Project reference]], $A25,Table1[[Standard Indicator ID Short]:[Standard Indicator ID Short]], BG$4) &gt; 0, 1, 0)</f>
        <v>0</v>
      </c>
      <c r="BH25" s="137">
        <f>IF(SUMIFS(Table1[[Result for year]:[Result for year]],Table1[[Project reference]:[Project reference]], $A25,Table1[[Standard Indicator ID Short]:[Standard Indicator ID Short]], BH$4) &gt; 0, 1, 0)</f>
        <v>0</v>
      </c>
      <c r="BI25" s="232">
        <f>IF(SUMIFS(Table1[[Result for year]:[Result for year]],Table1[[Project reference]:[Project reference]], $A25,Table1[[Standard Indicator ID Short]:[Standard Indicator ID Short]], BI$4) &gt; 0, 1, 0)</f>
        <v>0</v>
      </c>
      <c r="BJ25" s="138">
        <f>IF(SUMIFS(Table1[[Result for year]:[Result for year]],Table1[[Project reference]:[Project reference]], $A25,Table1[[Standard Indicator ID Short]:[Standard Indicator ID Short]], BJ$4) &gt; 0, 1, 0)</f>
        <v>0</v>
      </c>
      <c r="BK25" s="144"/>
      <c r="BL25" s="79"/>
      <c r="BM25" s="148">
        <f t="shared" si="0"/>
        <v>2</v>
      </c>
      <c r="BN25" s="79"/>
      <c r="BO25" s="78"/>
    </row>
    <row r="26" spans="1:67" ht="14.25" customHeight="1" x14ac:dyDescent="0.25">
      <c r="A26" s="170" t="s">
        <v>325</v>
      </c>
      <c r="B26" s="173" t="s">
        <v>423</v>
      </c>
      <c r="C26" s="137">
        <f>IF(SUMIFS(Table1[[Result for year]:[Result for year]],Table1[[Project reference]:[Project reference]], $A26,Table1[[Standard Indicator ID Short]:[Standard Indicator ID Short]], C$4) &gt; 0, 1, 0)</f>
        <v>0</v>
      </c>
      <c r="D26" s="232">
        <f>IF(SUMIFS(Table1[[Result for year]:[Result for year]],Table1[[Project reference]:[Project reference]], $A26,Table1[[Standard Indicator ID Short]:[Standard Indicator ID Short]], D$4) &gt; 0, 1, 0)</f>
        <v>0</v>
      </c>
      <c r="E26" s="232">
        <f>IF(SUMIFS(Table1[[Result for year]:[Result for year]],Table1[[Project reference]:[Project reference]], $A26,Table1[[Standard Indicator ID Short]:[Standard Indicator ID Short]], E$4) &gt; 0, 1, 0)</f>
        <v>0</v>
      </c>
      <c r="F26" s="232">
        <f>IF(SUMIFS(Table1[[Result for year]:[Result for year]],Table1[[Project reference]:[Project reference]], $A26,Table1[[Standard Indicator ID Short]:[Standard Indicator ID Short]], F$4) &gt; 0, 1, 0)</f>
        <v>0</v>
      </c>
      <c r="G26" s="232">
        <f>IF(SUMIFS(Table1[[Result for year]:[Result for year]],Table1[[Project reference]:[Project reference]], $A26,Table1[[Standard Indicator ID Short]:[Standard Indicator ID Short]], G$4) &gt; 0, 1, 0)</f>
        <v>0</v>
      </c>
      <c r="H26" s="232">
        <f>IF(SUMIFS(Table1[[Result for year]:[Result for year]],Table1[[Project reference]:[Project reference]], $A26,Table1[[Standard Indicator ID Short]:[Standard Indicator ID Short]], H$4) &gt; 0, 1, 0)</f>
        <v>0</v>
      </c>
      <c r="I26" s="232">
        <f>IF(SUMIFS(Table1[[Result for year]:[Result for year]],Table1[[Project reference]:[Project reference]], $A26,Table1[[Standard Indicator ID Short]:[Standard Indicator ID Short]], I$4) &gt; 0, 1, 0)</f>
        <v>0</v>
      </c>
      <c r="J26" s="232">
        <f>IF(SUMIFS(Table1[[Result for year]:[Result for year]],Table1[[Project reference]:[Project reference]], $A26,Table1[[Standard Indicator ID Short]:[Standard Indicator ID Short]], J$4) &gt; 0, 1, 0)</f>
        <v>0</v>
      </c>
      <c r="K26" s="232">
        <f>IF(SUMIFS(Table1[[Result for year]:[Result for year]],Table1[[Project reference]:[Project reference]], $A26,Table1[[Standard Indicator ID Short]:[Standard Indicator ID Short]], K$4) &gt; 0, 1, 0)</f>
        <v>0</v>
      </c>
      <c r="L26" s="232">
        <f>IF(SUMIFS(Table1[[Result for year]:[Result for year]],Table1[[Project reference]:[Project reference]], $A26,Table1[[Standard Indicator ID Short]:[Standard Indicator ID Short]], L$4) &gt; 0, 1, 0)</f>
        <v>0</v>
      </c>
      <c r="M26" s="137">
        <f>IF(SUMIFS(Table1[[Result for year]:[Result for year]],Table1[[Project reference]:[Project reference]], $A26,Table1[[Standard Indicator ID Short]:[Standard Indicator ID Short]], M$4) &gt; 0, 1, 0)</f>
        <v>0</v>
      </c>
      <c r="N26" s="232">
        <f>IF(SUMIFS(Table1[[Result for year]:[Result for year]],Table1[[Project reference]:[Project reference]], $A26,Table1[[Standard Indicator ID Short]:[Standard Indicator ID Short]], N$4) &gt; 0, 1, 0)</f>
        <v>0</v>
      </c>
      <c r="O26" s="232">
        <f>IF(SUMIFS(Table1[[Result for year]:[Result for year]],Table1[[Project reference]:[Project reference]], $A26,Table1[[Standard Indicator ID Short]:[Standard Indicator ID Short]], O$4) &gt; 0, 1, 0)</f>
        <v>0</v>
      </c>
      <c r="P26" s="232">
        <f>IF(SUMIFS(Table1[[Result for year]:[Result for year]],Table1[[Project reference]:[Project reference]], $A26,Table1[[Standard Indicator ID Short]:[Standard Indicator ID Short]], P$4) &gt; 0, 1, 0)</f>
        <v>0</v>
      </c>
      <c r="Q26" s="232">
        <f>IF(SUMIFS(Table1[[Result for year]:[Result for year]],Table1[[Project reference]:[Project reference]], $A26,Table1[[Standard Indicator ID Short]:[Standard Indicator ID Short]], Q$4) &gt; 0, 1, 0)</f>
        <v>0</v>
      </c>
      <c r="R26" s="232">
        <f>IF(SUMIFS(Table1[[Result for year]:[Result for year]],Table1[[Project reference]:[Project reference]], $A26,Table1[[Standard Indicator ID Short]:[Standard Indicator ID Short]], R$4) &gt; 0, 1, 0)</f>
        <v>0</v>
      </c>
      <c r="S26" s="232">
        <f>IF(SUMIFS(Table1[[Result for year]:[Result for year]],Table1[[Project reference]:[Project reference]], $A26,Table1[[Standard Indicator ID Short]:[Standard Indicator ID Short]], S$4) &gt; 0, 1, 0)</f>
        <v>0</v>
      </c>
      <c r="T26" s="232">
        <f>IF(SUMIFS(Table1[[Result for year]:[Result for year]],Table1[[Project reference]:[Project reference]], $A26,Table1[[Standard Indicator ID Short]:[Standard Indicator ID Short]], T$4) &gt; 0, 1, 0)</f>
        <v>0</v>
      </c>
      <c r="U26" s="232">
        <f>IF(SUMIFS(Table1[[Result for year]:[Result for year]],Table1[[Project reference]:[Project reference]], $A26,Table1[[Standard Indicator ID Short]:[Standard Indicator ID Short]], U$4) &gt; 0, 1, 0)</f>
        <v>0</v>
      </c>
      <c r="V26" s="232">
        <f>IF(SUMIFS(Table1[[Result for year]:[Result for year]],Table1[[Project reference]:[Project reference]], $A26,Table1[[Standard Indicator ID Short]:[Standard Indicator ID Short]], V$4) &gt; 0, 1, 0)</f>
        <v>0</v>
      </c>
      <c r="W26" s="232">
        <f>IF(SUMIFS(Table1[[Result for year]:[Result for year]],Table1[[Project reference]:[Project reference]], $A26,Table1[[Standard Indicator ID Short]:[Standard Indicator ID Short]], W$4) &gt; 0, 1, 0)</f>
        <v>0</v>
      </c>
      <c r="X26" s="232">
        <f>IF(SUMIFS(Table1[[Result for year]:[Result for year]],Table1[[Project reference]:[Project reference]], $A26,Table1[[Standard Indicator ID Short]:[Standard Indicator ID Short]], X$4) &gt; 0, 1, 0)</f>
        <v>0</v>
      </c>
      <c r="Y26" s="137">
        <f>IF(SUMIFS(Table1[[Result for year]:[Result for year]],Table1[[Project reference]:[Project reference]], $A26,Table1[[Standard Indicator ID Short]:[Standard Indicator ID Short]], Y$4) &gt; 0, 1, 0)</f>
        <v>0</v>
      </c>
      <c r="Z26" s="232">
        <f>IF(SUMIFS(Table1[[Result for year]:[Result for year]],Table1[[Project reference]:[Project reference]], $A26,Table1[[Standard Indicator ID Short]:[Standard Indicator ID Short]], Z$4) &gt; 0, 1, 0)</f>
        <v>0</v>
      </c>
      <c r="AA26" s="232">
        <f>IF(SUMIFS(Table1[[Result for year]:[Result for year]],Table1[[Project reference]:[Project reference]], $A26,Table1[[Standard Indicator ID Short]:[Standard Indicator ID Short]], AA$4) &gt; 0, 1, 0)</f>
        <v>0</v>
      </c>
      <c r="AB26" s="232">
        <f>IF(SUMIFS(Table1[[Result for year]:[Result for year]],Table1[[Project reference]:[Project reference]], $A26,Table1[[Standard Indicator ID Short]:[Standard Indicator ID Short]], AB$4) &gt; 0, 1, 0)</f>
        <v>0</v>
      </c>
      <c r="AC26" s="232">
        <f>IF(SUMIFS(Table1[[Result for year]:[Result for year]],Table1[[Project reference]:[Project reference]], $A26,Table1[[Standard Indicator ID Short]:[Standard Indicator ID Short]], AC$4) &gt; 0, 1, 0)</f>
        <v>0</v>
      </c>
      <c r="AD26" s="232">
        <f>IF(SUMIFS(Table1[[Result for year]:[Result for year]],Table1[[Project reference]:[Project reference]], $A26,Table1[[Standard Indicator ID Short]:[Standard Indicator ID Short]], AD$4) &gt; 0, 1, 0)</f>
        <v>0</v>
      </c>
      <c r="AE26" s="232">
        <f>IF(SUMIFS(Table1[[Result for year]:[Result for year]],Table1[[Project reference]:[Project reference]], $A26,Table1[[Standard Indicator ID Short]:[Standard Indicator ID Short]], AE$4) &gt; 0, 1, 0)</f>
        <v>0</v>
      </c>
      <c r="AF26" s="232">
        <f>IF(SUMIFS(Table1[[Result for year]:[Result for year]],Table1[[Project reference]:[Project reference]], $A26,Table1[[Standard Indicator ID Short]:[Standard Indicator ID Short]], AF$4) &gt; 0, 1, 0)</f>
        <v>0</v>
      </c>
      <c r="AG26" s="232">
        <f>IF(SUMIFS(Table1[[Result for year]:[Result for year]],Table1[[Project reference]:[Project reference]], $A26,Table1[[Standard Indicator ID Short]:[Standard Indicator ID Short]], AG$4) &gt; 0, 1, 0)</f>
        <v>0</v>
      </c>
      <c r="AH26" s="232">
        <f>IF(SUMIFS(Table1[[Result for year]:[Result for year]],Table1[[Project reference]:[Project reference]], $A26,Table1[[Standard Indicator ID Short]:[Standard Indicator ID Short]], AH$4) &gt; 0, 1, 0)</f>
        <v>0</v>
      </c>
      <c r="AI26" s="232">
        <f>IF(SUMIFS(Table1[[Result for year]:[Result for year]],Table1[[Project reference]:[Project reference]], $A26,Table1[[Standard Indicator ID Short]:[Standard Indicator ID Short]], AI$4) &gt; 0, 1, 0)</f>
        <v>0</v>
      </c>
      <c r="AJ26" s="232">
        <f>IF(SUMIFS(Table1[[Result for year]:[Result for year]],Table1[[Project reference]:[Project reference]], $A26,Table1[[Standard Indicator ID Short]:[Standard Indicator ID Short]], AJ$4) &gt; 0, 1, 0)</f>
        <v>0</v>
      </c>
      <c r="AK26" s="232">
        <f>IF(SUMIFS(Table1[[Result for year]:[Result for year]],Table1[[Project reference]:[Project reference]], $A26,Table1[[Standard Indicator ID Short]:[Standard Indicator ID Short]], AK$4) &gt; 0, 1, 0)</f>
        <v>0</v>
      </c>
      <c r="AL26" s="232">
        <f>IF(SUMIFS(Table1[[Result for year]:[Result for year]],Table1[[Project reference]:[Project reference]], $A26,Table1[[Standard Indicator ID Short]:[Standard Indicator ID Short]], AL$4) &gt; 0, 1, 0)</f>
        <v>0</v>
      </c>
      <c r="AM26" s="232">
        <f>IF(SUMIFS(Table1[[Result for year]:[Result for year]],Table1[[Project reference]:[Project reference]], $A26,Table1[[Standard Indicator ID Short]:[Standard Indicator ID Short]], AM$4) &gt; 0, 1, 0)</f>
        <v>1</v>
      </c>
      <c r="AN26" s="232">
        <f>IF(SUMIFS(Table1[[Result for year]:[Result for year]],Table1[[Project reference]:[Project reference]], $A26,Table1[[Standard Indicator ID Short]:[Standard Indicator ID Short]], AN$4) &gt; 0, 1, 0)</f>
        <v>0</v>
      </c>
      <c r="AO26" s="232">
        <f>IF(SUMIFS(Table1[[Result for year]:[Result for year]],Table1[[Project reference]:[Project reference]], $A26,Table1[[Standard Indicator ID Short]:[Standard Indicator ID Short]], AO$4) &gt; 0, 1, 0)</f>
        <v>0</v>
      </c>
      <c r="AP26" s="232">
        <f>IF(SUMIFS(Table1[[Result for year]:[Result for year]],Table1[[Project reference]:[Project reference]], $A26,Table1[[Standard Indicator ID Short]:[Standard Indicator ID Short]], AP$4) &gt; 0, 1, 0)</f>
        <v>0</v>
      </c>
      <c r="AQ26" s="232">
        <f>IF(SUMIFS(Table1[[Result for year]:[Result for year]],Table1[[Project reference]:[Project reference]], $A26,Table1[[Standard Indicator ID Short]:[Standard Indicator ID Short]], AQ$4) &gt; 0, 1, 0)</f>
        <v>1</v>
      </c>
      <c r="AR26" s="137">
        <f>IF(SUMIFS(Table1[[Result for year]:[Result for year]],Table1[[Project reference]:[Project reference]], $A26,Table1[[Standard Indicator ID Short]:[Standard Indicator ID Short]], AR$4) &gt; 0, 1, 0)</f>
        <v>0</v>
      </c>
      <c r="AS26" s="232">
        <f>IF(SUMIFS(Table1[[Result for year]:[Result for year]],Table1[[Project reference]:[Project reference]], $A26,Table1[[Standard Indicator ID Short]:[Standard Indicator ID Short]], AS$4) &gt; 0, 1, 0)</f>
        <v>0</v>
      </c>
      <c r="AT26" s="232">
        <f>IF(SUMIFS(Table1[[Result for year]:[Result for year]],Table1[[Project reference]:[Project reference]], $A26,Table1[[Standard Indicator ID Short]:[Standard Indicator ID Short]], AT$4) &gt; 0, 1, 0)</f>
        <v>0</v>
      </c>
      <c r="AU26" s="232">
        <f>IF(SUMIFS(Table1[[Result for year]:[Result for year]],Table1[[Project reference]:[Project reference]], $A26,Table1[[Standard Indicator ID Short]:[Standard Indicator ID Short]], AU$4) &gt; 0, 1, 0)</f>
        <v>0</v>
      </c>
      <c r="AV26" s="232">
        <f>IF(SUMIFS(Table1[[Result for year]:[Result for year]],Table1[[Project reference]:[Project reference]], $A26,Table1[[Standard Indicator ID Short]:[Standard Indicator ID Short]], AV$4) &gt; 0, 1, 0)</f>
        <v>0</v>
      </c>
      <c r="AW26" s="232">
        <f>IF(SUMIFS(Table1[[Result for year]:[Result for year]],Table1[[Project reference]:[Project reference]], $A26,Table1[[Standard Indicator ID Short]:[Standard Indicator ID Short]], AW$4) &gt; 0, 1, 0)</f>
        <v>0</v>
      </c>
      <c r="AX26" s="232">
        <f>IF(SUMIFS(Table1[[Result for year]:[Result for year]],Table1[[Project reference]:[Project reference]], $A26,Table1[[Standard Indicator ID Short]:[Standard Indicator ID Short]], AX$4) &gt; 0, 1, 0)</f>
        <v>0</v>
      </c>
      <c r="AY26" s="232">
        <f>IF(SUMIFS(Table1[[Result for year]:[Result for year]],Table1[[Project reference]:[Project reference]], $A26,Table1[[Standard Indicator ID Short]:[Standard Indicator ID Short]], AY$4) &gt; 0, 1, 0)</f>
        <v>0</v>
      </c>
      <c r="AZ26" s="232">
        <f>IF(SUMIFS(Table1[[Result for year]:[Result for year]],Table1[[Project reference]:[Project reference]], $A26,Table1[[Standard Indicator ID Short]:[Standard Indicator ID Short]], AZ$4) &gt; 0, 1, 0)</f>
        <v>0</v>
      </c>
      <c r="BA26" s="232">
        <f>IF(SUMIFS(Table1[[Result for year]:[Result for year]],Table1[[Project reference]:[Project reference]], $A26,Table1[[Standard Indicator ID Short]:[Standard Indicator ID Short]], BA$4) &gt; 0, 1, 0)</f>
        <v>0</v>
      </c>
      <c r="BB26" s="232">
        <f>IF(SUMIFS(Table1[[Result for year]:[Result for year]],Table1[[Project reference]:[Project reference]], $A26,Table1[[Standard Indicator ID Short]:[Standard Indicator ID Short]], BB$4) &gt; 0, 1, 0)</f>
        <v>0</v>
      </c>
      <c r="BC26" s="232">
        <f>IF(SUMIFS(Table1[[Result for year]:[Result for year]],Table1[[Project reference]:[Project reference]], $A26,Table1[[Standard Indicator ID Short]:[Standard Indicator ID Short]], BC$4) &gt; 0, 1, 0)</f>
        <v>0</v>
      </c>
      <c r="BD26" s="232">
        <f>IF(SUMIFS(Table1[[Result for year]:[Result for year]],Table1[[Project reference]:[Project reference]], $A26,Table1[[Standard Indicator ID Short]:[Standard Indicator ID Short]], BD$4) &gt; 0, 1, 0)</f>
        <v>0</v>
      </c>
      <c r="BE26" s="232">
        <f>IF(SUMIFS(Table1[[Result for year]:[Result for year]],Table1[[Project reference]:[Project reference]], $A26,Table1[[Standard Indicator ID Short]:[Standard Indicator ID Short]], BE$4) &gt; 0, 1, 0)</f>
        <v>0</v>
      </c>
      <c r="BF26" s="232">
        <f>IF(SUMIFS(Table1[[Result for year]:[Result for year]],Table1[[Project reference]:[Project reference]], $A26,Table1[[Standard Indicator ID Short]:[Standard Indicator ID Short]], BF$4) &gt; 0, 1, 0)</f>
        <v>0</v>
      </c>
      <c r="BG26" s="138">
        <f>IF(SUMIFS(Table1[[Result for year]:[Result for year]],Table1[[Project reference]:[Project reference]], $A26,Table1[[Standard Indicator ID Short]:[Standard Indicator ID Short]], BG$4) &gt; 0, 1, 0)</f>
        <v>0</v>
      </c>
      <c r="BH26" s="137">
        <f>IF(SUMIFS(Table1[[Result for year]:[Result for year]],Table1[[Project reference]:[Project reference]], $A26,Table1[[Standard Indicator ID Short]:[Standard Indicator ID Short]], BH$4) &gt; 0, 1, 0)</f>
        <v>0</v>
      </c>
      <c r="BI26" s="232">
        <f>IF(SUMIFS(Table1[[Result for year]:[Result for year]],Table1[[Project reference]:[Project reference]], $A26,Table1[[Standard Indicator ID Short]:[Standard Indicator ID Short]], BI$4) &gt; 0, 1, 0)</f>
        <v>0</v>
      </c>
      <c r="BJ26" s="138">
        <f>IF(SUMIFS(Table1[[Result for year]:[Result for year]],Table1[[Project reference]:[Project reference]], $A26,Table1[[Standard Indicator ID Short]:[Standard Indicator ID Short]], BJ$4) &gt; 0, 1, 0)</f>
        <v>0</v>
      </c>
      <c r="BK26" s="144"/>
      <c r="BL26" s="79"/>
      <c r="BM26" s="148">
        <f t="shared" si="0"/>
        <v>2</v>
      </c>
      <c r="BN26" s="79"/>
      <c r="BO26" s="78"/>
    </row>
    <row r="27" spans="1:67" ht="14.25" customHeight="1" x14ac:dyDescent="0.25">
      <c r="A27" s="170" t="s">
        <v>326</v>
      </c>
      <c r="B27" s="173" t="s">
        <v>424</v>
      </c>
      <c r="C27" s="137">
        <f>IF(SUMIFS(Table1[[Result for year]:[Result for year]],Table1[[Project reference]:[Project reference]], $A27,Table1[[Standard Indicator ID Short]:[Standard Indicator ID Short]], C$4) &gt; 0, 1, 0)</f>
        <v>0</v>
      </c>
      <c r="D27" s="232">
        <f>IF(SUMIFS(Table1[[Result for year]:[Result for year]],Table1[[Project reference]:[Project reference]], $A27,Table1[[Standard Indicator ID Short]:[Standard Indicator ID Short]], D$4) &gt; 0, 1, 0)</f>
        <v>0</v>
      </c>
      <c r="E27" s="232">
        <f>IF(SUMIFS(Table1[[Result for year]:[Result for year]],Table1[[Project reference]:[Project reference]], $A27,Table1[[Standard Indicator ID Short]:[Standard Indicator ID Short]], E$4) &gt; 0, 1, 0)</f>
        <v>0</v>
      </c>
      <c r="F27" s="232">
        <f>IF(SUMIFS(Table1[[Result for year]:[Result for year]],Table1[[Project reference]:[Project reference]], $A27,Table1[[Standard Indicator ID Short]:[Standard Indicator ID Short]], F$4) &gt; 0, 1, 0)</f>
        <v>0</v>
      </c>
      <c r="G27" s="232">
        <f>IF(SUMIFS(Table1[[Result for year]:[Result for year]],Table1[[Project reference]:[Project reference]], $A27,Table1[[Standard Indicator ID Short]:[Standard Indicator ID Short]], G$4) &gt; 0, 1, 0)</f>
        <v>0</v>
      </c>
      <c r="H27" s="232">
        <f>IF(SUMIFS(Table1[[Result for year]:[Result for year]],Table1[[Project reference]:[Project reference]], $A27,Table1[[Standard Indicator ID Short]:[Standard Indicator ID Short]], H$4) &gt; 0, 1, 0)</f>
        <v>0</v>
      </c>
      <c r="I27" s="232">
        <f>IF(SUMIFS(Table1[[Result for year]:[Result for year]],Table1[[Project reference]:[Project reference]], $A27,Table1[[Standard Indicator ID Short]:[Standard Indicator ID Short]], I$4) &gt; 0, 1, 0)</f>
        <v>0</v>
      </c>
      <c r="J27" s="232">
        <f>IF(SUMIFS(Table1[[Result for year]:[Result for year]],Table1[[Project reference]:[Project reference]], $A27,Table1[[Standard Indicator ID Short]:[Standard Indicator ID Short]], J$4) &gt; 0, 1, 0)</f>
        <v>0</v>
      </c>
      <c r="K27" s="232">
        <f>IF(SUMIFS(Table1[[Result for year]:[Result for year]],Table1[[Project reference]:[Project reference]], $A27,Table1[[Standard Indicator ID Short]:[Standard Indicator ID Short]], K$4) &gt; 0, 1, 0)</f>
        <v>0</v>
      </c>
      <c r="L27" s="232">
        <f>IF(SUMIFS(Table1[[Result for year]:[Result for year]],Table1[[Project reference]:[Project reference]], $A27,Table1[[Standard Indicator ID Short]:[Standard Indicator ID Short]], L$4) &gt; 0, 1, 0)</f>
        <v>0</v>
      </c>
      <c r="M27" s="137">
        <f>IF(SUMIFS(Table1[[Result for year]:[Result for year]],Table1[[Project reference]:[Project reference]], $A27,Table1[[Standard Indicator ID Short]:[Standard Indicator ID Short]], M$4) &gt; 0, 1, 0)</f>
        <v>0</v>
      </c>
      <c r="N27" s="232">
        <f>IF(SUMIFS(Table1[[Result for year]:[Result for year]],Table1[[Project reference]:[Project reference]], $A27,Table1[[Standard Indicator ID Short]:[Standard Indicator ID Short]], N$4) &gt; 0, 1, 0)</f>
        <v>0</v>
      </c>
      <c r="O27" s="232">
        <f>IF(SUMIFS(Table1[[Result for year]:[Result for year]],Table1[[Project reference]:[Project reference]], $A27,Table1[[Standard Indicator ID Short]:[Standard Indicator ID Short]], O$4) &gt; 0, 1, 0)</f>
        <v>0</v>
      </c>
      <c r="P27" s="232">
        <f>IF(SUMIFS(Table1[[Result for year]:[Result for year]],Table1[[Project reference]:[Project reference]], $A27,Table1[[Standard Indicator ID Short]:[Standard Indicator ID Short]], P$4) &gt; 0, 1, 0)</f>
        <v>0</v>
      </c>
      <c r="Q27" s="232">
        <f>IF(SUMIFS(Table1[[Result for year]:[Result for year]],Table1[[Project reference]:[Project reference]], $A27,Table1[[Standard Indicator ID Short]:[Standard Indicator ID Short]], Q$4) &gt; 0, 1, 0)</f>
        <v>0</v>
      </c>
      <c r="R27" s="232">
        <f>IF(SUMIFS(Table1[[Result for year]:[Result for year]],Table1[[Project reference]:[Project reference]], $A27,Table1[[Standard Indicator ID Short]:[Standard Indicator ID Short]], R$4) &gt; 0, 1, 0)</f>
        <v>0</v>
      </c>
      <c r="S27" s="232">
        <f>IF(SUMIFS(Table1[[Result for year]:[Result for year]],Table1[[Project reference]:[Project reference]], $A27,Table1[[Standard Indicator ID Short]:[Standard Indicator ID Short]], S$4) &gt; 0, 1, 0)</f>
        <v>0</v>
      </c>
      <c r="T27" s="232">
        <f>IF(SUMIFS(Table1[[Result for year]:[Result for year]],Table1[[Project reference]:[Project reference]], $A27,Table1[[Standard Indicator ID Short]:[Standard Indicator ID Short]], T$4) &gt; 0, 1, 0)</f>
        <v>0</v>
      </c>
      <c r="U27" s="232">
        <f>IF(SUMIFS(Table1[[Result for year]:[Result for year]],Table1[[Project reference]:[Project reference]], $A27,Table1[[Standard Indicator ID Short]:[Standard Indicator ID Short]], U$4) &gt; 0, 1, 0)</f>
        <v>0</v>
      </c>
      <c r="V27" s="232">
        <f>IF(SUMIFS(Table1[[Result for year]:[Result for year]],Table1[[Project reference]:[Project reference]], $A27,Table1[[Standard Indicator ID Short]:[Standard Indicator ID Short]], V$4) &gt; 0, 1, 0)</f>
        <v>0</v>
      </c>
      <c r="W27" s="232">
        <f>IF(SUMIFS(Table1[[Result for year]:[Result for year]],Table1[[Project reference]:[Project reference]], $A27,Table1[[Standard Indicator ID Short]:[Standard Indicator ID Short]], W$4) &gt; 0, 1, 0)</f>
        <v>0</v>
      </c>
      <c r="X27" s="232">
        <f>IF(SUMIFS(Table1[[Result for year]:[Result for year]],Table1[[Project reference]:[Project reference]], $A27,Table1[[Standard Indicator ID Short]:[Standard Indicator ID Short]], X$4) &gt; 0, 1, 0)</f>
        <v>0</v>
      </c>
      <c r="Y27" s="137">
        <f>IF(SUMIFS(Table1[[Result for year]:[Result for year]],Table1[[Project reference]:[Project reference]], $A27,Table1[[Standard Indicator ID Short]:[Standard Indicator ID Short]], Y$4) &gt; 0, 1, 0)</f>
        <v>0</v>
      </c>
      <c r="Z27" s="232">
        <f>IF(SUMIFS(Table1[[Result for year]:[Result for year]],Table1[[Project reference]:[Project reference]], $A27,Table1[[Standard Indicator ID Short]:[Standard Indicator ID Short]], Z$4) &gt; 0, 1, 0)</f>
        <v>0</v>
      </c>
      <c r="AA27" s="232">
        <f>IF(SUMIFS(Table1[[Result for year]:[Result for year]],Table1[[Project reference]:[Project reference]], $A27,Table1[[Standard Indicator ID Short]:[Standard Indicator ID Short]], AA$4) &gt; 0, 1, 0)</f>
        <v>0</v>
      </c>
      <c r="AB27" s="232">
        <f>IF(SUMIFS(Table1[[Result for year]:[Result for year]],Table1[[Project reference]:[Project reference]], $A27,Table1[[Standard Indicator ID Short]:[Standard Indicator ID Short]], AB$4) &gt; 0, 1, 0)</f>
        <v>0</v>
      </c>
      <c r="AC27" s="232">
        <f>IF(SUMIFS(Table1[[Result for year]:[Result for year]],Table1[[Project reference]:[Project reference]], $A27,Table1[[Standard Indicator ID Short]:[Standard Indicator ID Short]], AC$4) &gt; 0, 1, 0)</f>
        <v>0</v>
      </c>
      <c r="AD27" s="232">
        <f>IF(SUMIFS(Table1[[Result for year]:[Result for year]],Table1[[Project reference]:[Project reference]], $A27,Table1[[Standard Indicator ID Short]:[Standard Indicator ID Short]], AD$4) &gt; 0, 1, 0)</f>
        <v>0</v>
      </c>
      <c r="AE27" s="232">
        <f>IF(SUMIFS(Table1[[Result for year]:[Result for year]],Table1[[Project reference]:[Project reference]], $A27,Table1[[Standard Indicator ID Short]:[Standard Indicator ID Short]], AE$4) &gt; 0, 1, 0)</f>
        <v>0</v>
      </c>
      <c r="AF27" s="232">
        <f>IF(SUMIFS(Table1[[Result for year]:[Result for year]],Table1[[Project reference]:[Project reference]], $A27,Table1[[Standard Indicator ID Short]:[Standard Indicator ID Short]], AF$4) &gt; 0, 1, 0)</f>
        <v>0</v>
      </c>
      <c r="AG27" s="232">
        <f>IF(SUMIFS(Table1[[Result for year]:[Result for year]],Table1[[Project reference]:[Project reference]], $A27,Table1[[Standard Indicator ID Short]:[Standard Indicator ID Short]], AG$4) &gt; 0, 1, 0)</f>
        <v>0</v>
      </c>
      <c r="AH27" s="232">
        <f>IF(SUMIFS(Table1[[Result for year]:[Result for year]],Table1[[Project reference]:[Project reference]], $A27,Table1[[Standard Indicator ID Short]:[Standard Indicator ID Short]], AH$4) &gt; 0, 1, 0)</f>
        <v>0</v>
      </c>
      <c r="AI27" s="232">
        <f>IF(SUMIFS(Table1[[Result for year]:[Result for year]],Table1[[Project reference]:[Project reference]], $A27,Table1[[Standard Indicator ID Short]:[Standard Indicator ID Short]], AI$4) &gt; 0, 1, 0)</f>
        <v>0</v>
      </c>
      <c r="AJ27" s="232">
        <f>IF(SUMIFS(Table1[[Result for year]:[Result for year]],Table1[[Project reference]:[Project reference]], $A27,Table1[[Standard Indicator ID Short]:[Standard Indicator ID Short]], AJ$4) &gt; 0, 1, 0)</f>
        <v>0</v>
      </c>
      <c r="AK27" s="232">
        <f>IF(SUMIFS(Table1[[Result for year]:[Result for year]],Table1[[Project reference]:[Project reference]], $A27,Table1[[Standard Indicator ID Short]:[Standard Indicator ID Short]], AK$4) &gt; 0, 1, 0)</f>
        <v>0</v>
      </c>
      <c r="AL27" s="232">
        <f>IF(SUMIFS(Table1[[Result for year]:[Result for year]],Table1[[Project reference]:[Project reference]], $A27,Table1[[Standard Indicator ID Short]:[Standard Indicator ID Short]], AL$4) &gt; 0, 1, 0)</f>
        <v>0</v>
      </c>
      <c r="AM27" s="232">
        <f>IF(SUMIFS(Table1[[Result for year]:[Result for year]],Table1[[Project reference]:[Project reference]], $A27,Table1[[Standard Indicator ID Short]:[Standard Indicator ID Short]], AM$4) &gt; 0, 1, 0)</f>
        <v>0</v>
      </c>
      <c r="AN27" s="232">
        <f>IF(SUMIFS(Table1[[Result for year]:[Result for year]],Table1[[Project reference]:[Project reference]], $A27,Table1[[Standard Indicator ID Short]:[Standard Indicator ID Short]], AN$4) &gt; 0, 1, 0)</f>
        <v>0</v>
      </c>
      <c r="AO27" s="232">
        <f>IF(SUMIFS(Table1[[Result for year]:[Result for year]],Table1[[Project reference]:[Project reference]], $A27,Table1[[Standard Indicator ID Short]:[Standard Indicator ID Short]], AO$4) &gt; 0, 1, 0)</f>
        <v>0</v>
      </c>
      <c r="AP27" s="232">
        <f>IF(SUMIFS(Table1[[Result for year]:[Result for year]],Table1[[Project reference]:[Project reference]], $A27,Table1[[Standard Indicator ID Short]:[Standard Indicator ID Short]], AP$4) &gt; 0, 1, 0)</f>
        <v>0</v>
      </c>
      <c r="AQ27" s="232">
        <f>IF(SUMIFS(Table1[[Result for year]:[Result for year]],Table1[[Project reference]:[Project reference]], $A27,Table1[[Standard Indicator ID Short]:[Standard Indicator ID Short]], AQ$4) &gt; 0, 1, 0)</f>
        <v>0</v>
      </c>
      <c r="AR27" s="137">
        <f>IF(SUMIFS(Table1[[Result for year]:[Result for year]],Table1[[Project reference]:[Project reference]], $A27,Table1[[Standard Indicator ID Short]:[Standard Indicator ID Short]], AR$4) &gt; 0, 1, 0)</f>
        <v>0</v>
      </c>
      <c r="AS27" s="232">
        <f>IF(SUMIFS(Table1[[Result for year]:[Result for year]],Table1[[Project reference]:[Project reference]], $A27,Table1[[Standard Indicator ID Short]:[Standard Indicator ID Short]], AS$4) &gt; 0, 1, 0)</f>
        <v>0</v>
      </c>
      <c r="AT27" s="232">
        <f>IF(SUMIFS(Table1[[Result for year]:[Result for year]],Table1[[Project reference]:[Project reference]], $A27,Table1[[Standard Indicator ID Short]:[Standard Indicator ID Short]], AT$4) &gt; 0, 1, 0)</f>
        <v>0</v>
      </c>
      <c r="AU27" s="232">
        <f>IF(SUMIFS(Table1[[Result for year]:[Result for year]],Table1[[Project reference]:[Project reference]], $A27,Table1[[Standard Indicator ID Short]:[Standard Indicator ID Short]], AU$4) &gt; 0, 1, 0)</f>
        <v>0</v>
      </c>
      <c r="AV27" s="232">
        <f>IF(SUMIFS(Table1[[Result for year]:[Result for year]],Table1[[Project reference]:[Project reference]], $A27,Table1[[Standard Indicator ID Short]:[Standard Indicator ID Short]], AV$4) &gt; 0, 1, 0)</f>
        <v>0</v>
      </c>
      <c r="AW27" s="232">
        <f>IF(SUMIFS(Table1[[Result for year]:[Result for year]],Table1[[Project reference]:[Project reference]], $A27,Table1[[Standard Indicator ID Short]:[Standard Indicator ID Short]], AW$4) &gt; 0, 1, 0)</f>
        <v>0</v>
      </c>
      <c r="AX27" s="232">
        <f>IF(SUMIFS(Table1[[Result for year]:[Result for year]],Table1[[Project reference]:[Project reference]], $A27,Table1[[Standard Indicator ID Short]:[Standard Indicator ID Short]], AX$4) &gt; 0, 1, 0)</f>
        <v>0</v>
      </c>
      <c r="AY27" s="232">
        <f>IF(SUMIFS(Table1[[Result for year]:[Result for year]],Table1[[Project reference]:[Project reference]], $A27,Table1[[Standard Indicator ID Short]:[Standard Indicator ID Short]], AY$4) &gt; 0, 1, 0)</f>
        <v>0</v>
      </c>
      <c r="AZ27" s="232">
        <f>IF(SUMIFS(Table1[[Result for year]:[Result for year]],Table1[[Project reference]:[Project reference]], $A27,Table1[[Standard Indicator ID Short]:[Standard Indicator ID Short]], AZ$4) &gt; 0, 1, 0)</f>
        <v>0</v>
      </c>
      <c r="BA27" s="232">
        <f>IF(SUMIFS(Table1[[Result for year]:[Result for year]],Table1[[Project reference]:[Project reference]], $A27,Table1[[Standard Indicator ID Short]:[Standard Indicator ID Short]], BA$4) &gt; 0, 1, 0)</f>
        <v>0</v>
      </c>
      <c r="BB27" s="232">
        <f>IF(SUMIFS(Table1[[Result for year]:[Result for year]],Table1[[Project reference]:[Project reference]], $A27,Table1[[Standard Indicator ID Short]:[Standard Indicator ID Short]], BB$4) &gt; 0, 1, 0)</f>
        <v>0</v>
      </c>
      <c r="BC27" s="232">
        <f>IF(SUMIFS(Table1[[Result for year]:[Result for year]],Table1[[Project reference]:[Project reference]], $A27,Table1[[Standard Indicator ID Short]:[Standard Indicator ID Short]], BC$4) &gt; 0, 1, 0)</f>
        <v>0</v>
      </c>
      <c r="BD27" s="232">
        <f>IF(SUMIFS(Table1[[Result for year]:[Result for year]],Table1[[Project reference]:[Project reference]], $A27,Table1[[Standard Indicator ID Short]:[Standard Indicator ID Short]], BD$4) &gt; 0, 1, 0)</f>
        <v>0</v>
      </c>
      <c r="BE27" s="232">
        <f>IF(SUMIFS(Table1[[Result for year]:[Result for year]],Table1[[Project reference]:[Project reference]], $A27,Table1[[Standard Indicator ID Short]:[Standard Indicator ID Short]], BE$4) &gt; 0, 1, 0)</f>
        <v>0</v>
      </c>
      <c r="BF27" s="232">
        <f>IF(SUMIFS(Table1[[Result for year]:[Result for year]],Table1[[Project reference]:[Project reference]], $A27,Table1[[Standard Indicator ID Short]:[Standard Indicator ID Short]], BF$4) &gt; 0, 1, 0)</f>
        <v>0</v>
      </c>
      <c r="BG27" s="138">
        <f>IF(SUMIFS(Table1[[Result for year]:[Result for year]],Table1[[Project reference]:[Project reference]], $A27,Table1[[Standard Indicator ID Short]:[Standard Indicator ID Short]], BG$4) &gt; 0, 1, 0)</f>
        <v>0</v>
      </c>
      <c r="BH27" s="137">
        <f>IF(SUMIFS(Table1[[Result for year]:[Result for year]],Table1[[Project reference]:[Project reference]], $A27,Table1[[Standard Indicator ID Short]:[Standard Indicator ID Short]], BH$4) &gt; 0, 1, 0)</f>
        <v>0</v>
      </c>
      <c r="BI27" s="232">
        <f>IF(SUMIFS(Table1[[Result for year]:[Result for year]],Table1[[Project reference]:[Project reference]], $A27,Table1[[Standard Indicator ID Short]:[Standard Indicator ID Short]], BI$4) &gt; 0, 1, 0)</f>
        <v>0</v>
      </c>
      <c r="BJ27" s="138">
        <f>IF(SUMIFS(Table1[[Result for year]:[Result for year]],Table1[[Project reference]:[Project reference]], $A27,Table1[[Standard Indicator ID Short]:[Standard Indicator ID Short]], BJ$4) &gt; 0, 1, 0)</f>
        <v>0</v>
      </c>
      <c r="BK27" s="144"/>
      <c r="BL27" s="79"/>
      <c r="BM27" s="148">
        <f t="shared" si="0"/>
        <v>0</v>
      </c>
      <c r="BN27" s="79"/>
      <c r="BO27" s="78"/>
    </row>
    <row r="28" spans="1:67" ht="14.25" customHeight="1" x14ac:dyDescent="0.25">
      <c r="A28" s="170" t="s">
        <v>327</v>
      </c>
      <c r="B28" s="173" t="s">
        <v>425</v>
      </c>
      <c r="C28" s="137">
        <f>IF(SUMIFS(Table1[[Result for year]:[Result for year]],Table1[[Project reference]:[Project reference]], $A28,Table1[[Standard Indicator ID Short]:[Standard Indicator ID Short]], C$4) &gt; 0, 1, 0)</f>
        <v>0</v>
      </c>
      <c r="D28" s="232">
        <f>IF(SUMIFS(Table1[[Result for year]:[Result for year]],Table1[[Project reference]:[Project reference]], $A28,Table1[[Standard Indicator ID Short]:[Standard Indicator ID Short]], D$4) &gt; 0, 1, 0)</f>
        <v>0</v>
      </c>
      <c r="E28" s="232">
        <f>IF(SUMIFS(Table1[[Result for year]:[Result for year]],Table1[[Project reference]:[Project reference]], $A28,Table1[[Standard Indicator ID Short]:[Standard Indicator ID Short]], E$4) &gt; 0, 1, 0)</f>
        <v>0</v>
      </c>
      <c r="F28" s="232">
        <f>IF(SUMIFS(Table1[[Result for year]:[Result for year]],Table1[[Project reference]:[Project reference]], $A28,Table1[[Standard Indicator ID Short]:[Standard Indicator ID Short]], F$4) &gt; 0, 1, 0)</f>
        <v>0</v>
      </c>
      <c r="G28" s="232">
        <f>IF(SUMIFS(Table1[[Result for year]:[Result for year]],Table1[[Project reference]:[Project reference]], $A28,Table1[[Standard Indicator ID Short]:[Standard Indicator ID Short]], G$4) &gt; 0, 1, 0)</f>
        <v>0</v>
      </c>
      <c r="H28" s="232">
        <f>IF(SUMIFS(Table1[[Result for year]:[Result for year]],Table1[[Project reference]:[Project reference]], $A28,Table1[[Standard Indicator ID Short]:[Standard Indicator ID Short]], H$4) &gt; 0, 1, 0)</f>
        <v>0</v>
      </c>
      <c r="I28" s="232">
        <f>IF(SUMIFS(Table1[[Result for year]:[Result for year]],Table1[[Project reference]:[Project reference]], $A28,Table1[[Standard Indicator ID Short]:[Standard Indicator ID Short]], I$4) &gt; 0, 1, 0)</f>
        <v>0</v>
      </c>
      <c r="J28" s="232">
        <f>IF(SUMIFS(Table1[[Result for year]:[Result for year]],Table1[[Project reference]:[Project reference]], $A28,Table1[[Standard Indicator ID Short]:[Standard Indicator ID Short]], J$4) &gt; 0, 1, 0)</f>
        <v>0</v>
      </c>
      <c r="K28" s="232">
        <f>IF(SUMIFS(Table1[[Result for year]:[Result for year]],Table1[[Project reference]:[Project reference]], $A28,Table1[[Standard Indicator ID Short]:[Standard Indicator ID Short]], K$4) &gt; 0, 1, 0)</f>
        <v>0</v>
      </c>
      <c r="L28" s="232">
        <f>IF(SUMIFS(Table1[[Result for year]:[Result for year]],Table1[[Project reference]:[Project reference]], $A28,Table1[[Standard Indicator ID Short]:[Standard Indicator ID Short]], L$4) &gt; 0, 1, 0)</f>
        <v>0</v>
      </c>
      <c r="M28" s="137">
        <f>IF(SUMIFS(Table1[[Result for year]:[Result for year]],Table1[[Project reference]:[Project reference]], $A28,Table1[[Standard Indicator ID Short]:[Standard Indicator ID Short]], M$4) &gt; 0, 1, 0)</f>
        <v>0</v>
      </c>
      <c r="N28" s="232">
        <f>IF(SUMIFS(Table1[[Result for year]:[Result for year]],Table1[[Project reference]:[Project reference]], $A28,Table1[[Standard Indicator ID Short]:[Standard Indicator ID Short]], N$4) &gt; 0, 1, 0)</f>
        <v>0</v>
      </c>
      <c r="O28" s="232">
        <f>IF(SUMIFS(Table1[[Result for year]:[Result for year]],Table1[[Project reference]:[Project reference]], $A28,Table1[[Standard Indicator ID Short]:[Standard Indicator ID Short]], O$4) &gt; 0, 1, 0)</f>
        <v>0</v>
      </c>
      <c r="P28" s="232">
        <f>IF(SUMIFS(Table1[[Result for year]:[Result for year]],Table1[[Project reference]:[Project reference]], $A28,Table1[[Standard Indicator ID Short]:[Standard Indicator ID Short]], P$4) &gt; 0, 1, 0)</f>
        <v>0</v>
      </c>
      <c r="Q28" s="232">
        <f>IF(SUMIFS(Table1[[Result for year]:[Result for year]],Table1[[Project reference]:[Project reference]], $A28,Table1[[Standard Indicator ID Short]:[Standard Indicator ID Short]], Q$4) &gt; 0, 1, 0)</f>
        <v>0</v>
      </c>
      <c r="R28" s="232">
        <f>IF(SUMIFS(Table1[[Result for year]:[Result for year]],Table1[[Project reference]:[Project reference]], $A28,Table1[[Standard Indicator ID Short]:[Standard Indicator ID Short]], R$4) &gt; 0, 1, 0)</f>
        <v>0</v>
      </c>
      <c r="S28" s="232">
        <f>IF(SUMIFS(Table1[[Result for year]:[Result for year]],Table1[[Project reference]:[Project reference]], $A28,Table1[[Standard Indicator ID Short]:[Standard Indicator ID Short]], S$4) &gt; 0, 1, 0)</f>
        <v>0</v>
      </c>
      <c r="T28" s="232">
        <f>IF(SUMIFS(Table1[[Result for year]:[Result for year]],Table1[[Project reference]:[Project reference]], $A28,Table1[[Standard Indicator ID Short]:[Standard Indicator ID Short]], T$4) &gt; 0, 1, 0)</f>
        <v>0</v>
      </c>
      <c r="U28" s="232">
        <f>IF(SUMIFS(Table1[[Result for year]:[Result for year]],Table1[[Project reference]:[Project reference]], $A28,Table1[[Standard Indicator ID Short]:[Standard Indicator ID Short]], U$4) &gt; 0, 1, 0)</f>
        <v>0</v>
      </c>
      <c r="V28" s="232">
        <f>IF(SUMIFS(Table1[[Result for year]:[Result for year]],Table1[[Project reference]:[Project reference]], $A28,Table1[[Standard Indicator ID Short]:[Standard Indicator ID Short]], V$4) &gt; 0, 1, 0)</f>
        <v>0</v>
      </c>
      <c r="W28" s="232">
        <f>IF(SUMIFS(Table1[[Result for year]:[Result for year]],Table1[[Project reference]:[Project reference]], $A28,Table1[[Standard Indicator ID Short]:[Standard Indicator ID Short]], W$4) &gt; 0, 1, 0)</f>
        <v>0</v>
      </c>
      <c r="X28" s="232">
        <f>IF(SUMIFS(Table1[[Result for year]:[Result for year]],Table1[[Project reference]:[Project reference]], $A28,Table1[[Standard Indicator ID Short]:[Standard Indicator ID Short]], X$4) &gt; 0, 1, 0)</f>
        <v>0</v>
      </c>
      <c r="Y28" s="137">
        <f>IF(SUMIFS(Table1[[Result for year]:[Result for year]],Table1[[Project reference]:[Project reference]], $A28,Table1[[Standard Indicator ID Short]:[Standard Indicator ID Short]], Y$4) &gt; 0, 1, 0)</f>
        <v>0</v>
      </c>
      <c r="Z28" s="232">
        <f>IF(SUMIFS(Table1[[Result for year]:[Result for year]],Table1[[Project reference]:[Project reference]], $A28,Table1[[Standard Indicator ID Short]:[Standard Indicator ID Short]], Z$4) &gt; 0, 1, 0)</f>
        <v>0</v>
      </c>
      <c r="AA28" s="232">
        <f>IF(SUMIFS(Table1[[Result for year]:[Result for year]],Table1[[Project reference]:[Project reference]], $A28,Table1[[Standard Indicator ID Short]:[Standard Indicator ID Short]], AA$4) &gt; 0, 1, 0)</f>
        <v>0</v>
      </c>
      <c r="AB28" s="232">
        <f>IF(SUMIFS(Table1[[Result for year]:[Result for year]],Table1[[Project reference]:[Project reference]], $A28,Table1[[Standard Indicator ID Short]:[Standard Indicator ID Short]], AB$4) &gt; 0, 1, 0)</f>
        <v>0</v>
      </c>
      <c r="AC28" s="232">
        <f>IF(SUMIFS(Table1[[Result for year]:[Result for year]],Table1[[Project reference]:[Project reference]], $A28,Table1[[Standard Indicator ID Short]:[Standard Indicator ID Short]], AC$4) &gt; 0, 1, 0)</f>
        <v>0</v>
      </c>
      <c r="AD28" s="232">
        <f>IF(SUMIFS(Table1[[Result for year]:[Result for year]],Table1[[Project reference]:[Project reference]], $A28,Table1[[Standard Indicator ID Short]:[Standard Indicator ID Short]], AD$4) &gt; 0, 1, 0)</f>
        <v>0</v>
      </c>
      <c r="AE28" s="232">
        <f>IF(SUMIFS(Table1[[Result for year]:[Result for year]],Table1[[Project reference]:[Project reference]], $A28,Table1[[Standard Indicator ID Short]:[Standard Indicator ID Short]], AE$4) &gt; 0, 1, 0)</f>
        <v>0</v>
      </c>
      <c r="AF28" s="232">
        <f>IF(SUMIFS(Table1[[Result for year]:[Result for year]],Table1[[Project reference]:[Project reference]], $A28,Table1[[Standard Indicator ID Short]:[Standard Indicator ID Short]], AF$4) &gt; 0, 1, 0)</f>
        <v>0</v>
      </c>
      <c r="AG28" s="232">
        <f>IF(SUMIFS(Table1[[Result for year]:[Result for year]],Table1[[Project reference]:[Project reference]], $A28,Table1[[Standard Indicator ID Short]:[Standard Indicator ID Short]], AG$4) &gt; 0, 1, 0)</f>
        <v>0</v>
      </c>
      <c r="AH28" s="232">
        <f>IF(SUMIFS(Table1[[Result for year]:[Result for year]],Table1[[Project reference]:[Project reference]], $A28,Table1[[Standard Indicator ID Short]:[Standard Indicator ID Short]], AH$4) &gt; 0, 1, 0)</f>
        <v>0</v>
      </c>
      <c r="AI28" s="232">
        <f>IF(SUMIFS(Table1[[Result for year]:[Result for year]],Table1[[Project reference]:[Project reference]], $A28,Table1[[Standard Indicator ID Short]:[Standard Indicator ID Short]], AI$4) &gt; 0, 1, 0)</f>
        <v>0</v>
      </c>
      <c r="AJ28" s="232">
        <f>IF(SUMIFS(Table1[[Result for year]:[Result for year]],Table1[[Project reference]:[Project reference]], $A28,Table1[[Standard Indicator ID Short]:[Standard Indicator ID Short]], AJ$4) &gt; 0, 1, 0)</f>
        <v>0</v>
      </c>
      <c r="AK28" s="232">
        <f>IF(SUMIFS(Table1[[Result for year]:[Result for year]],Table1[[Project reference]:[Project reference]], $A28,Table1[[Standard Indicator ID Short]:[Standard Indicator ID Short]], AK$4) &gt; 0, 1, 0)</f>
        <v>0</v>
      </c>
      <c r="AL28" s="232">
        <f>IF(SUMIFS(Table1[[Result for year]:[Result for year]],Table1[[Project reference]:[Project reference]], $A28,Table1[[Standard Indicator ID Short]:[Standard Indicator ID Short]], AL$4) &gt; 0, 1, 0)</f>
        <v>0</v>
      </c>
      <c r="AM28" s="232">
        <f>IF(SUMIFS(Table1[[Result for year]:[Result for year]],Table1[[Project reference]:[Project reference]], $A28,Table1[[Standard Indicator ID Short]:[Standard Indicator ID Short]], AM$4) &gt; 0, 1, 0)</f>
        <v>0</v>
      </c>
      <c r="AN28" s="232">
        <f>IF(SUMIFS(Table1[[Result for year]:[Result for year]],Table1[[Project reference]:[Project reference]], $A28,Table1[[Standard Indicator ID Short]:[Standard Indicator ID Short]], AN$4) &gt; 0, 1, 0)</f>
        <v>0</v>
      </c>
      <c r="AO28" s="232">
        <f>IF(SUMIFS(Table1[[Result for year]:[Result for year]],Table1[[Project reference]:[Project reference]], $A28,Table1[[Standard Indicator ID Short]:[Standard Indicator ID Short]], AO$4) &gt; 0, 1, 0)</f>
        <v>0</v>
      </c>
      <c r="AP28" s="232">
        <f>IF(SUMIFS(Table1[[Result for year]:[Result for year]],Table1[[Project reference]:[Project reference]], $A28,Table1[[Standard Indicator ID Short]:[Standard Indicator ID Short]], AP$4) &gt; 0, 1, 0)</f>
        <v>0</v>
      </c>
      <c r="AQ28" s="232">
        <f>IF(SUMIFS(Table1[[Result for year]:[Result for year]],Table1[[Project reference]:[Project reference]], $A28,Table1[[Standard Indicator ID Short]:[Standard Indicator ID Short]], AQ$4) &gt; 0, 1, 0)</f>
        <v>1</v>
      </c>
      <c r="AR28" s="137">
        <f>IF(SUMIFS(Table1[[Result for year]:[Result for year]],Table1[[Project reference]:[Project reference]], $A28,Table1[[Standard Indicator ID Short]:[Standard Indicator ID Short]], AR$4) &gt; 0, 1, 0)</f>
        <v>0</v>
      </c>
      <c r="AS28" s="232">
        <f>IF(SUMIFS(Table1[[Result for year]:[Result for year]],Table1[[Project reference]:[Project reference]], $A28,Table1[[Standard Indicator ID Short]:[Standard Indicator ID Short]], AS$4) &gt; 0, 1, 0)</f>
        <v>0</v>
      </c>
      <c r="AT28" s="232">
        <f>IF(SUMIFS(Table1[[Result for year]:[Result for year]],Table1[[Project reference]:[Project reference]], $A28,Table1[[Standard Indicator ID Short]:[Standard Indicator ID Short]], AT$4) &gt; 0, 1, 0)</f>
        <v>0</v>
      </c>
      <c r="AU28" s="232">
        <f>IF(SUMIFS(Table1[[Result for year]:[Result for year]],Table1[[Project reference]:[Project reference]], $A28,Table1[[Standard Indicator ID Short]:[Standard Indicator ID Short]], AU$4) &gt; 0, 1, 0)</f>
        <v>0</v>
      </c>
      <c r="AV28" s="232">
        <f>IF(SUMIFS(Table1[[Result for year]:[Result for year]],Table1[[Project reference]:[Project reference]], $A28,Table1[[Standard Indicator ID Short]:[Standard Indicator ID Short]], AV$4) &gt; 0, 1, 0)</f>
        <v>0</v>
      </c>
      <c r="AW28" s="232">
        <f>IF(SUMIFS(Table1[[Result for year]:[Result for year]],Table1[[Project reference]:[Project reference]], $A28,Table1[[Standard Indicator ID Short]:[Standard Indicator ID Short]], AW$4) &gt; 0, 1, 0)</f>
        <v>0</v>
      </c>
      <c r="AX28" s="232">
        <f>IF(SUMIFS(Table1[[Result for year]:[Result for year]],Table1[[Project reference]:[Project reference]], $A28,Table1[[Standard Indicator ID Short]:[Standard Indicator ID Short]], AX$4) &gt; 0, 1, 0)</f>
        <v>0</v>
      </c>
      <c r="AY28" s="232">
        <f>IF(SUMIFS(Table1[[Result for year]:[Result for year]],Table1[[Project reference]:[Project reference]], $A28,Table1[[Standard Indicator ID Short]:[Standard Indicator ID Short]], AY$4) &gt; 0, 1, 0)</f>
        <v>0</v>
      </c>
      <c r="AZ28" s="232">
        <f>IF(SUMIFS(Table1[[Result for year]:[Result for year]],Table1[[Project reference]:[Project reference]], $A28,Table1[[Standard Indicator ID Short]:[Standard Indicator ID Short]], AZ$4) &gt; 0, 1, 0)</f>
        <v>0</v>
      </c>
      <c r="BA28" s="232">
        <f>IF(SUMIFS(Table1[[Result for year]:[Result for year]],Table1[[Project reference]:[Project reference]], $A28,Table1[[Standard Indicator ID Short]:[Standard Indicator ID Short]], BA$4) &gt; 0, 1, 0)</f>
        <v>0</v>
      </c>
      <c r="BB28" s="232">
        <f>IF(SUMIFS(Table1[[Result for year]:[Result for year]],Table1[[Project reference]:[Project reference]], $A28,Table1[[Standard Indicator ID Short]:[Standard Indicator ID Short]], BB$4) &gt; 0, 1, 0)</f>
        <v>0</v>
      </c>
      <c r="BC28" s="232">
        <f>IF(SUMIFS(Table1[[Result for year]:[Result for year]],Table1[[Project reference]:[Project reference]], $A28,Table1[[Standard Indicator ID Short]:[Standard Indicator ID Short]], BC$4) &gt; 0, 1, 0)</f>
        <v>0</v>
      </c>
      <c r="BD28" s="232">
        <f>IF(SUMIFS(Table1[[Result for year]:[Result for year]],Table1[[Project reference]:[Project reference]], $A28,Table1[[Standard Indicator ID Short]:[Standard Indicator ID Short]], BD$4) &gt; 0, 1, 0)</f>
        <v>0</v>
      </c>
      <c r="BE28" s="232">
        <f>IF(SUMIFS(Table1[[Result for year]:[Result for year]],Table1[[Project reference]:[Project reference]], $A28,Table1[[Standard Indicator ID Short]:[Standard Indicator ID Short]], BE$4) &gt; 0, 1, 0)</f>
        <v>0</v>
      </c>
      <c r="BF28" s="232">
        <f>IF(SUMIFS(Table1[[Result for year]:[Result for year]],Table1[[Project reference]:[Project reference]], $A28,Table1[[Standard Indicator ID Short]:[Standard Indicator ID Short]], BF$4) &gt; 0, 1, 0)</f>
        <v>0</v>
      </c>
      <c r="BG28" s="138">
        <f>IF(SUMIFS(Table1[[Result for year]:[Result for year]],Table1[[Project reference]:[Project reference]], $A28,Table1[[Standard Indicator ID Short]:[Standard Indicator ID Short]], BG$4) &gt; 0, 1, 0)</f>
        <v>0</v>
      </c>
      <c r="BH28" s="137">
        <f>IF(SUMIFS(Table1[[Result for year]:[Result for year]],Table1[[Project reference]:[Project reference]], $A28,Table1[[Standard Indicator ID Short]:[Standard Indicator ID Short]], BH$4) &gt; 0, 1, 0)</f>
        <v>0</v>
      </c>
      <c r="BI28" s="232">
        <f>IF(SUMIFS(Table1[[Result for year]:[Result for year]],Table1[[Project reference]:[Project reference]], $A28,Table1[[Standard Indicator ID Short]:[Standard Indicator ID Short]], BI$4) &gt; 0, 1, 0)</f>
        <v>0</v>
      </c>
      <c r="BJ28" s="138">
        <f>IF(SUMIFS(Table1[[Result for year]:[Result for year]],Table1[[Project reference]:[Project reference]], $A28,Table1[[Standard Indicator ID Short]:[Standard Indicator ID Short]], BJ$4) &gt; 0, 1, 0)</f>
        <v>0</v>
      </c>
      <c r="BK28" s="144"/>
      <c r="BL28" s="79"/>
      <c r="BM28" s="148">
        <f t="shared" si="0"/>
        <v>1</v>
      </c>
      <c r="BN28" s="79"/>
      <c r="BO28" s="78"/>
    </row>
    <row r="29" spans="1:67" ht="14.25" customHeight="1" x14ac:dyDescent="0.25">
      <c r="A29" s="170" t="s">
        <v>328</v>
      </c>
      <c r="B29" s="173" t="s">
        <v>426</v>
      </c>
      <c r="C29" s="137">
        <f>IF(SUMIFS(Table1[[Result for year]:[Result for year]],Table1[[Project reference]:[Project reference]], $A29,Table1[[Standard Indicator ID Short]:[Standard Indicator ID Short]], C$4) &gt; 0, 1, 0)</f>
        <v>1</v>
      </c>
      <c r="D29" s="232">
        <f>IF(SUMIFS(Table1[[Result for year]:[Result for year]],Table1[[Project reference]:[Project reference]], $A29,Table1[[Standard Indicator ID Short]:[Standard Indicator ID Short]], D$4) &gt; 0, 1, 0)</f>
        <v>0</v>
      </c>
      <c r="E29" s="232">
        <f>IF(SUMIFS(Table1[[Result for year]:[Result for year]],Table1[[Project reference]:[Project reference]], $A29,Table1[[Standard Indicator ID Short]:[Standard Indicator ID Short]], E$4) &gt; 0, 1, 0)</f>
        <v>0</v>
      </c>
      <c r="F29" s="232">
        <f>IF(SUMIFS(Table1[[Result for year]:[Result for year]],Table1[[Project reference]:[Project reference]], $A29,Table1[[Standard Indicator ID Short]:[Standard Indicator ID Short]], F$4) &gt; 0, 1, 0)</f>
        <v>0</v>
      </c>
      <c r="G29" s="232">
        <f>IF(SUMIFS(Table1[[Result for year]:[Result for year]],Table1[[Project reference]:[Project reference]], $A29,Table1[[Standard Indicator ID Short]:[Standard Indicator ID Short]], G$4) &gt; 0, 1, 0)</f>
        <v>0</v>
      </c>
      <c r="H29" s="232">
        <f>IF(SUMIFS(Table1[[Result for year]:[Result for year]],Table1[[Project reference]:[Project reference]], $A29,Table1[[Standard Indicator ID Short]:[Standard Indicator ID Short]], H$4) &gt; 0, 1, 0)</f>
        <v>0</v>
      </c>
      <c r="I29" s="232">
        <f>IF(SUMIFS(Table1[[Result for year]:[Result for year]],Table1[[Project reference]:[Project reference]], $A29,Table1[[Standard Indicator ID Short]:[Standard Indicator ID Short]], I$4) &gt; 0, 1, 0)</f>
        <v>0</v>
      </c>
      <c r="J29" s="232">
        <f>IF(SUMIFS(Table1[[Result for year]:[Result for year]],Table1[[Project reference]:[Project reference]], $A29,Table1[[Standard Indicator ID Short]:[Standard Indicator ID Short]], J$4) &gt; 0, 1, 0)</f>
        <v>0</v>
      </c>
      <c r="K29" s="232">
        <f>IF(SUMIFS(Table1[[Result for year]:[Result for year]],Table1[[Project reference]:[Project reference]], $A29,Table1[[Standard Indicator ID Short]:[Standard Indicator ID Short]], K$4) &gt; 0, 1, 0)</f>
        <v>0</v>
      </c>
      <c r="L29" s="232">
        <f>IF(SUMIFS(Table1[[Result for year]:[Result for year]],Table1[[Project reference]:[Project reference]], $A29,Table1[[Standard Indicator ID Short]:[Standard Indicator ID Short]], L$4) &gt; 0, 1, 0)</f>
        <v>0</v>
      </c>
      <c r="M29" s="137">
        <f>IF(SUMIFS(Table1[[Result for year]:[Result for year]],Table1[[Project reference]:[Project reference]], $A29,Table1[[Standard Indicator ID Short]:[Standard Indicator ID Short]], M$4) &gt; 0, 1, 0)</f>
        <v>0</v>
      </c>
      <c r="N29" s="232">
        <f>IF(SUMIFS(Table1[[Result for year]:[Result for year]],Table1[[Project reference]:[Project reference]], $A29,Table1[[Standard Indicator ID Short]:[Standard Indicator ID Short]], N$4) &gt; 0, 1, 0)</f>
        <v>0</v>
      </c>
      <c r="O29" s="232">
        <f>IF(SUMIFS(Table1[[Result for year]:[Result for year]],Table1[[Project reference]:[Project reference]], $A29,Table1[[Standard Indicator ID Short]:[Standard Indicator ID Short]], O$4) &gt; 0, 1, 0)</f>
        <v>0</v>
      </c>
      <c r="P29" s="232">
        <f>IF(SUMIFS(Table1[[Result for year]:[Result for year]],Table1[[Project reference]:[Project reference]], $A29,Table1[[Standard Indicator ID Short]:[Standard Indicator ID Short]], P$4) &gt; 0, 1, 0)</f>
        <v>0</v>
      </c>
      <c r="Q29" s="232">
        <f>IF(SUMIFS(Table1[[Result for year]:[Result for year]],Table1[[Project reference]:[Project reference]], $A29,Table1[[Standard Indicator ID Short]:[Standard Indicator ID Short]], Q$4) &gt; 0, 1, 0)</f>
        <v>0</v>
      </c>
      <c r="R29" s="232">
        <f>IF(SUMIFS(Table1[[Result for year]:[Result for year]],Table1[[Project reference]:[Project reference]], $A29,Table1[[Standard Indicator ID Short]:[Standard Indicator ID Short]], R$4) &gt; 0, 1, 0)</f>
        <v>0</v>
      </c>
      <c r="S29" s="232">
        <f>IF(SUMIFS(Table1[[Result for year]:[Result for year]],Table1[[Project reference]:[Project reference]], $A29,Table1[[Standard Indicator ID Short]:[Standard Indicator ID Short]], S$4) &gt; 0, 1, 0)</f>
        <v>0</v>
      </c>
      <c r="T29" s="232">
        <f>IF(SUMIFS(Table1[[Result for year]:[Result for year]],Table1[[Project reference]:[Project reference]], $A29,Table1[[Standard Indicator ID Short]:[Standard Indicator ID Short]], T$4) &gt; 0, 1, 0)</f>
        <v>0</v>
      </c>
      <c r="U29" s="232">
        <f>IF(SUMIFS(Table1[[Result for year]:[Result for year]],Table1[[Project reference]:[Project reference]], $A29,Table1[[Standard Indicator ID Short]:[Standard Indicator ID Short]], U$4) &gt; 0, 1, 0)</f>
        <v>0</v>
      </c>
      <c r="V29" s="232">
        <f>IF(SUMIFS(Table1[[Result for year]:[Result for year]],Table1[[Project reference]:[Project reference]], $A29,Table1[[Standard Indicator ID Short]:[Standard Indicator ID Short]], V$4) &gt; 0, 1, 0)</f>
        <v>0</v>
      </c>
      <c r="W29" s="232">
        <f>IF(SUMIFS(Table1[[Result for year]:[Result for year]],Table1[[Project reference]:[Project reference]], $A29,Table1[[Standard Indicator ID Short]:[Standard Indicator ID Short]], W$4) &gt; 0, 1, 0)</f>
        <v>0</v>
      </c>
      <c r="X29" s="232">
        <f>IF(SUMIFS(Table1[[Result for year]:[Result for year]],Table1[[Project reference]:[Project reference]], $A29,Table1[[Standard Indicator ID Short]:[Standard Indicator ID Short]], X$4) &gt; 0, 1, 0)</f>
        <v>0</v>
      </c>
      <c r="Y29" s="137">
        <f>IF(SUMIFS(Table1[[Result for year]:[Result for year]],Table1[[Project reference]:[Project reference]], $A29,Table1[[Standard Indicator ID Short]:[Standard Indicator ID Short]], Y$4) &gt; 0, 1, 0)</f>
        <v>0</v>
      </c>
      <c r="Z29" s="232">
        <f>IF(SUMIFS(Table1[[Result for year]:[Result for year]],Table1[[Project reference]:[Project reference]], $A29,Table1[[Standard Indicator ID Short]:[Standard Indicator ID Short]], Z$4) &gt; 0, 1, 0)</f>
        <v>0</v>
      </c>
      <c r="AA29" s="232">
        <f>IF(SUMIFS(Table1[[Result for year]:[Result for year]],Table1[[Project reference]:[Project reference]], $A29,Table1[[Standard Indicator ID Short]:[Standard Indicator ID Short]], AA$4) &gt; 0, 1, 0)</f>
        <v>0</v>
      </c>
      <c r="AB29" s="232">
        <f>IF(SUMIFS(Table1[[Result for year]:[Result for year]],Table1[[Project reference]:[Project reference]], $A29,Table1[[Standard Indicator ID Short]:[Standard Indicator ID Short]], AB$4) &gt; 0, 1, 0)</f>
        <v>0</v>
      </c>
      <c r="AC29" s="232">
        <f>IF(SUMIFS(Table1[[Result for year]:[Result for year]],Table1[[Project reference]:[Project reference]], $A29,Table1[[Standard Indicator ID Short]:[Standard Indicator ID Short]], AC$4) &gt; 0, 1, 0)</f>
        <v>0</v>
      </c>
      <c r="AD29" s="232">
        <f>IF(SUMIFS(Table1[[Result for year]:[Result for year]],Table1[[Project reference]:[Project reference]], $A29,Table1[[Standard Indicator ID Short]:[Standard Indicator ID Short]], AD$4) &gt; 0, 1, 0)</f>
        <v>0</v>
      </c>
      <c r="AE29" s="232">
        <f>IF(SUMIFS(Table1[[Result for year]:[Result for year]],Table1[[Project reference]:[Project reference]], $A29,Table1[[Standard Indicator ID Short]:[Standard Indicator ID Short]], AE$4) &gt; 0, 1, 0)</f>
        <v>0</v>
      </c>
      <c r="AF29" s="232">
        <f>IF(SUMIFS(Table1[[Result for year]:[Result for year]],Table1[[Project reference]:[Project reference]], $A29,Table1[[Standard Indicator ID Short]:[Standard Indicator ID Short]], AF$4) &gt; 0, 1, 0)</f>
        <v>0</v>
      </c>
      <c r="AG29" s="232">
        <f>IF(SUMIFS(Table1[[Result for year]:[Result for year]],Table1[[Project reference]:[Project reference]], $A29,Table1[[Standard Indicator ID Short]:[Standard Indicator ID Short]], AG$4) &gt; 0, 1, 0)</f>
        <v>0</v>
      </c>
      <c r="AH29" s="232">
        <f>IF(SUMIFS(Table1[[Result for year]:[Result for year]],Table1[[Project reference]:[Project reference]], $A29,Table1[[Standard Indicator ID Short]:[Standard Indicator ID Short]], AH$4) &gt; 0, 1, 0)</f>
        <v>0</v>
      </c>
      <c r="AI29" s="232">
        <f>IF(SUMIFS(Table1[[Result for year]:[Result for year]],Table1[[Project reference]:[Project reference]], $A29,Table1[[Standard Indicator ID Short]:[Standard Indicator ID Short]], AI$4) &gt; 0, 1, 0)</f>
        <v>0</v>
      </c>
      <c r="AJ29" s="232">
        <f>IF(SUMIFS(Table1[[Result for year]:[Result for year]],Table1[[Project reference]:[Project reference]], $A29,Table1[[Standard Indicator ID Short]:[Standard Indicator ID Short]], AJ$4) &gt; 0, 1, 0)</f>
        <v>0</v>
      </c>
      <c r="AK29" s="232">
        <f>IF(SUMIFS(Table1[[Result for year]:[Result for year]],Table1[[Project reference]:[Project reference]], $A29,Table1[[Standard Indicator ID Short]:[Standard Indicator ID Short]], AK$4) &gt; 0, 1, 0)</f>
        <v>0</v>
      </c>
      <c r="AL29" s="232">
        <f>IF(SUMIFS(Table1[[Result for year]:[Result for year]],Table1[[Project reference]:[Project reference]], $A29,Table1[[Standard Indicator ID Short]:[Standard Indicator ID Short]], AL$4) &gt; 0, 1, 0)</f>
        <v>0</v>
      </c>
      <c r="AM29" s="232">
        <f>IF(SUMIFS(Table1[[Result for year]:[Result for year]],Table1[[Project reference]:[Project reference]], $A29,Table1[[Standard Indicator ID Short]:[Standard Indicator ID Short]], AM$4) &gt; 0, 1, 0)</f>
        <v>0</v>
      </c>
      <c r="AN29" s="232">
        <f>IF(SUMIFS(Table1[[Result for year]:[Result for year]],Table1[[Project reference]:[Project reference]], $A29,Table1[[Standard Indicator ID Short]:[Standard Indicator ID Short]], AN$4) &gt; 0, 1, 0)</f>
        <v>0</v>
      </c>
      <c r="AO29" s="232">
        <f>IF(SUMIFS(Table1[[Result for year]:[Result for year]],Table1[[Project reference]:[Project reference]], $A29,Table1[[Standard Indicator ID Short]:[Standard Indicator ID Short]], AO$4) &gt; 0, 1, 0)</f>
        <v>0</v>
      </c>
      <c r="AP29" s="232">
        <f>IF(SUMIFS(Table1[[Result for year]:[Result for year]],Table1[[Project reference]:[Project reference]], $A29,Table1[[Standard Indicator ID Short]:[Standard Indicator ID Short]], AP$4) &gt; 0, 1, 0)</f>
        <v>0</v>
      </c>
      <c r="AQ29" s="232">
        <f>IF(SUMIFS(Table1[[Result for year]:[Result for year]],Table1[[Project reference]:[Project reference]], $A29,Table1[[Standard Indicator ID Short]:[Standard Indicator ID Short]], AQ$4) &gt; 0, 1, 0)</f>
        <v>0</v>
      </c>
      <c r="AR29" s="137">
        <f>IF(SUMIFS(Table1[[Result for year]:[Result for year]],Table1[[Project reference]:[Project reference]], $A29,Table1[[Standard Indicator ID Short]:[Standard Indicator ID Short]], AR$4) &gt; 0, 1, 0)</f>
        <v>0</v>
      </c>
      <c r="AS29" s="232">
        <f>IF(SUMIFS(Table1[[Result for year]:[Result for year]],Table1[[Project reference]:[Project reference]], $A29,Table1[[Standard Indicator ID Short]:[Standard Indicator ID Short]], AS$4) &gt; 0, 1, 0)</f>
        <v>0</v>
      </c>
      <c r="AT29" s="232">
        <f>IF(SUMIFS(Table1[[Result for year]:[Result for year]],Table1[[Project reference]:[Project reference]], $A29,Table1[[Standard Indicator ID Short]:[Standard Indicator ID Short]], AT$4) &gt; 0, 1, 0)</f>
        <v>0</v>
      </c>
      <c r="AU29" s="232">
        <f>IF(SUMIFS(Table1[[Result for year]:[Result for year]],Table1[[Project reference]:[Project reference]], $A29,Table1[[Standard Indicator ID Short]:[Standard Indicator ID Short]], AU$4) &gt; 0, 1, 0)</f>
        <v>0</v>
      </c>
      <c r="AV29" s="232">
        <f>IF(SUMIFS(Table1[[Result for year]:[Result for year]],Table1[[Project reference]:[Project reference]], $A29,Table1[[Standard Indicator ID Short]:[Standard Indicator ID Short]], AV$4) &gt; 0, 1, 0)</f>
        <v>0</v>
      </c>
      <c r="AW29" s="232">
        <f>IF(SUMIFS(Table1[[Result for year]:[Result for year]],Table1[[Project reference]:[Project reference]], $A29,Table1[[Standard Indicator ID Short]:[Standard Indicator ID Short]], AW$4) &gt; 0, 1, 0)</f>
        <v>0</v>
      </c>
      <c r="AX29" s="232">
        <f>IF(SUMIFS(Table1[[Result for year]:[Result for year]],Table1[[Project reference]:[Project reference]], $A29,Table1[[Standard Indicator ID Short]:[Standard Indicator ID Short]], AX$4) &gt; 0, 1, 0)</f>
        <v>0</v>
      </c>
      <c r="AY29" s="232">
        <f>IF(SUMIFS(Table1[[Result for year]:[Result for year]],Table1[[Project reference]:[Project reference]], $A29,Table1[[Standard Indicator ID Short]:[Standard Indicator ID Short]], AY$4) &gt; 0, 1, 0)</f>
        <v>0</v>
      </c>
      <c r="AZ29" s="232">
        <f>IF(SUMIFS(Table1[[Result for year]:[Result for year]],Table1[[Project reference]:[Project reference]], $A29,Table1[[Standard Indicator ID Short]:[Standard Indicator ID Short]], AZ$4) &gt; 0, 1, 0)</f>
        <v>0</v>
      </c>
      <c r="BA29" s="232">
        <f>IF(SUMIFS(Table1[[Result for year]:[Result for year]],Table1[[Project reference]:[Project reference]], $A29,Table1[[Standard Indicator ID Short]:[Standard Indicator ID Short]], BA$4) &gt; 0, 1, 0)</f>
        <v>0</v>
      </c>
      <c r="BB29" s="232">
        <f>IF(SUMIFS(Table1[[Result for year]:[Result for year]],Table1[[Project reference]:[Project reference]], $A29,Table1[[Standard Indicator ID Short]:[Standard Indicator ID Short]], BB$4) &gt; 0, 1, 0)</f>
        <v>0</v>
      </c>
      <c r="BC29" s="232">
        <f>IF(SUMIFS(Table1[[Result for year]:[Result for year]],Table1[[Project reference]:[Project reference]], $A29,Table1[[Standard Indicator ID Short]:[Standard Indicator ID Short]], BC$4) &gt; 0, 1, 0)</f>
        <v>1</v>
      </c>
      <c r="BD29" s="232">
        <f>IF(SUMIFS(Table1[[Result for year]:[Result for year]],Table1[[Project reference]:[Project reference]], $A29,Table1[[Standard Indicator ID Short]:[Standard Indicator ID Short]], BD$4) &gt; 0, 1, 0)</f>
        <v>0</v>
      </c>
      <c r="BE29" s="232">
        <f>IF(SUMIFS(Table1[[Result for year]:[Result for year]],Table1[[Project reference]:[Project reference]], $A29,Table1[[Standard Indicator ID Short]:[Standard Indicator ID Short]], BE$4) &gt; 0, 1, 0)</f>
        <v>0</v>
      </c>
      <c r="BF29" s="232">
        <f>IF(SUMIFS(Table1[[Result for year]:[Result for year]],Table1[[Project reference]:[Project reference]], $A29,Table1[[Standard Indicator ID Short]:[Standard Indicator ID Short]], BF$4) &gt; 0, 1, 0)</f>
        <v>0</v>
      </c>
      <c r="BG29" s="138">
        <f>IF(SUMIFS(Table1[[Result for year]:[Result for year]],Table1[[Project reference]:[Project reference]], $A29,Table1[[Standard Indicator ID Short]:[Standard Indicator ID Short]], BG$4) &gt; 0, 1, 0)</f>
        <v>0</v>
      </c>
      <c r="BH29" s="137">
        <f>IF(SUMIFS(Table1[[Result for year]:[Result for year]],Table1[[Project reference]:[Project reference]], $A29,Table1[[Standard Indicator ID Short]:[Standard Indicator ID Short]], BH$4) &gt; 0, 1, 0)</f>
        <v>0</v>
      </c>
      <c r="BI29" s="232">
        <f>IF(SUMIFS(Table1[[Result for year]:[Result for year]],Table1[[Project reference]:[Project reference]], $A29,Table1[[Standard Indicator ID Short]:[Standard Indicator ID Short]], BI$4) &gt; 0, 1, 0)</f>
        <v>0</v>
      </c>
      <c r="BJ29" s="138">
        <f>IF(SUMIFS(Table1[[Result for year]:[Result for year]],Table1[[Project reference]:[Project reference]], $A29,Table1[[Standard Indicator ID Short]:[Standard Indicator ID Short]], BJ$4) &gt; 0, 1, 0)</f>
        <v>0</v>
      </c>
      <c r="BK29" s="144"/>
      <c r="BL29" s="79"/>
      <c r="BM29" s="148">
        <f t="shared" si="0"/>
        <v>2</v>
      </c>
      <c r="BN29" s="79"/>
      <c r="BO29" s="78"/>
    </row>
    <row r="30" spans="1:67" ht="14.25" customHeight="1" x14ac:dyDescent="0.25">
      <c r="A30" s="170" t="s">
        <v>329</v>
      </c>
      <c r="B30" s="173" t="s">
        <v>427</v>
      </c>
      <c r="C30" s="137">
        <f>IF(SUMIFS(Table1[[Result for year]:[Result for year]],Table1[[Project reference]:[Project reference]], $A30,Table1[[Standard Indicator ID Short]:[Standard Indicator ID Short]], C$4) &gt; 0, 1, 0)</f>
        <v>1</v>
      </c>
      <c r="D30" s="232">
        <f>IF(SUMIFS(Table1[[Result for year]:[Result for year]],Table1[[Project reference]:[Project reference]], $A30,Table1[[Standard Indicator ID Short]:[Standard Indicator ID Short]], D$4) &gt; 0, 1, 0)</f>
        <v>0</v>
      </c>
      <c r="E30" s="232">
        <f>IF(SUMIFS(Table1[[Result for year]:[Result for year]],Table1[[Project reference]:[Project reference]], $A30,Table1[[Standard Indicator ID Short]:[Standard Indicator ID Short]], E$4) &gt; 0, 1, 0)</f>
        <v>1</v>
      </c>
      <c r="F30" s="232">
        <f>IF(SUMIFS(Table1[[Result for year]:[Result for year]],Table1[[Project reference]:[Project reference]], $A30,Table1[[Standard Indicator ID Short]:[Standard Indicator ID Short]], F$4) &gt; 0, 1, 0)</f>
        <v>0</v>
      </c>
      <c r="G30" s="232">
        <f>IF(SUMIFS(Table1[[Result for year]:[Result for year]],Table1[[Project reference]:[Project reference]], $A30,Table1[[Standard Indicator ID Short]:[Standard Indicator ID Short]], G$4) &gt; 0, 1, 0)</f>
        <v>0</v>
      </c>
      <c r="H30" s="232">
        <f>IF(SUMIFS(Table1[[Result for year]:[Result for year]],Table1[[Project reference]:[Project reference]], $A30,Table1[[Standard Indicator ID Short]:[Standard Indicator ID Short]], H$4) &gt; 0, 1, 0)</f>
        <v>0</v>
      </c>
      <c r="I30" s="232">
        <f>IF(SUMIFS(Table1[[Result for year]:[Result for year]],Table1[[Project reference]:[Project reference]], $A30,Table1[[Standard Indicator ID Short]:[Standard Indicator ID Short]], I$4) &gt; 0, 1, 0)</f>
        <v>0</v>
      </c>
      <c r="J30" s="232">
        <f>IF(SUMIFS(Table1[[Result for year]:[Result for year]],Table1[[Project reference]:[Project reference]], $A30,Table1[[Standard Indicator ID Short]:[Standard Indicator ID Short]], J$4) &gt; 0, 1, 0)</f>
        <v>0</v>
      </c>
      <c r="K30" s="232">
        <f>IF(SUMIFS(Table1[[Result for year]:[Result for year]],Table1[[Project reference]:[Project reference]], $A30,Table1[[Standard Indicator ID Short]:[Standard Indicator ID Short]], K$4) &gt; 0, 1, 0)</f>
        <v>0</v>
      </c>
      <c r="L30" s="232">
        <f>IF(SUMIFS(Table1[[Result for year]:[Result for year]],Table1[[Project reference]:[Project reference]], $A30,Table1[[Standard Indicator ID Short]:[Standard Indicator ID Short]], L$4) &gt; 0, 1, 0)</f>
        <v>0</v>
      </c>
      <c r="M30" s="137">
        <f>IF(SUMIFS(Table1[[Result for year]:[Result for year]],Table1[[Project reference]:[Project reference]], $A30,Table1[[Standard Indicator ID Short]:[Standard Indicator ID Short]], M$4) &gt; 0, 1, 0)</f>
        <v>0</v>
      </c>
      <c r="N30" s="232">
        <f>IF(SUMIFS(Table1[[Result for year]:[Result for year]],Table1[[Project reference]:[Project reference]], $A30,Table1[[Standard Indicator ID Short]:[Standard Indicator ID Short]], N$4) &gt; 0, 1, 0)</f>
        <v>0</v>
      </c>
      <c r="O30" s="232">
        <f>IF(SUMIFS(Table1[[Result for year]:[Result for year]],Table1[[Project reference]:[Project reference]], $A30,Table1[[Standard Indicator ID Short]:[Standard Indicator ID Short]], O$4) &gt; 0, 1, 0)</f>
        <v>0</v>
      </c>
      <c r="P30" s="232">
        <f>IF(SUMIFS(Table1[[Result for year]:[Result for year]],Table1[[Project reference]:[Project reference]], $A30,Table1[[Standard Indicator ID Short]:[Standard Indicator ID Short]], P$4) &gt; 0, 1, 0)</f>
        <v>0</v>
      </c>
      <c r="Q30" s="232">
        <f>IF(SUMIFS(Table1[[Result for year]:[Result for year]],Table1[[Project reference]:[Project reference]], $A30,Table1[[Standard Indicator ID Short]:[Standard Indicator ID Short]], Q$4) &gt; 0, 1, 0)</f>
        <v>0</v>
      </c>
      <c r="R30" s="232">
        <f>IF(SUMIFS(Table1[[Result for year]:[Result for year]],Table1[[Project reference]:[Project reference]], $A30,Table1[[Standard Indicator ID Short]:[Standard Indicator ID Short]], R$4) &gt; 0, 1, 0)</f>
        <v>0</v>
      </c>
      <c r="S30" s="232">
        <f>IF(SUMIFS(Table1[[Result for year]:[Result for year]],Table1[[Project reference]:[Project reference]], $A30,Table1[[Standard Indicator ID Short]:[Standard Indicator ID Short]], S$4) &gt; 0, 1, 0)</f>
        <v>0</v>
      </c>
      <c r="T30" s="232">
        <f>IF(SUMIFS(Table1[[Result for year]:[Result for year]],Table1[[Project reference]:[Project reference]], $A30,Table1[[Standard Indicator ID Short]:[Standard Indicator ID Short]], T$4) &gt; 0, 1, 0)</f>
        <v>0</v>
      </c>
      <c r="U30" s="232">
        <f>IF(SUMIFS(Table1[[Result for year]:[Result for year]],Table1[[Project reference]:[Project reference]], $A30,Table1[[Standard Indicator ID Short]:[Standard Indicator ID Short]], U$4) &gt; 0, 1, 0)</f>
        <v>0</v>
      </c>
      <c r="V30" s="232">
        <f>IF(SUMIFS(Table1[[Result for year]:[Result for year]],Table1[[Project reference]:[Project reference]], $A30,Table1[[Standard Indicator ID Short]:[Standard Indicator ID Short]], V$4) &gt; 0, 1, 0)</f>
        <v>0</v>
      </c>
      <c r="W30" s="232">
        <f>IF(SUMIFS(Table1[[Result for year]:[Result for year]],Table1[[Project reference]:[Project reference]], $A30,Table1[[Standard Indicator ID Short]:[Standard Indicator ID Short]], W$4) &gt; 0, 1, 0)</f>
        <v>0</v>
      </c>
      <c r="X30" s="232">
        <f>IF(SUMIFS(Table1[[Result for year]:[Result for year]],Table1[[Project reference]:[Project reference]], $A30,Table1[[Standard Indicator ID Short]:[Standard Indicator ID Short]], X$4) &gt; 0, 1, 0)</f>
        <v>0</v>
      </c>
      <c r="Y30" s="137">
        <f>IF(SUMIFS(Table1[[Result for year]:[Result for year]],Table1[[Project reference]:[Project reference]], $A30,Table1[[Standard Indicator ID Short]:[Standard Indicator ID Short]], Y$4) &gt; 0, 1, 0)</f>
        <v>0</v>
      </c>
      <c r="Z30" s="232">
        <f>IF(SUMIFS(Table1[[Result for year]:[Result for year]],Table1[[Project reference]:[Project reference]], $A30,Table1[[Standard Indicator ID Short]:[Standard Indicator ID Short]], Z$4) &gt; 0, 1, 0)</f>
        <v>0</v>
      </c>
      <c r="AA30" s="232">
        <f>IF(SUMIFS(Table1[[Result for year]:[Result for year]],Table1[[Project reference]:[Project reference]], $A30,Table1[[Standard Indicator ID Short]:[Standard Indicator ID Short]], AA$4) &gt; 0, 1, 0)</f>
        <v>0</v>
      </c>
      <c r="AB30" s="232">
        <f>IF(SUMIFS(Table1[[Result for year]:[Result for year]],Table1[[Project reference]:[Project reference]], $A30,Table1[[Standard Indicator ID Short]:[Standard Indicator ID Short]], AB$4) &gt; 0, 1, 0)</f>
        <v>0</v>
      </c>
      <c r="AC30" s="232">
        <f>IF(SUMIFS(Table1[[Result for year]:[Result for year]],Table1[[Project reference]:[Project reference]], $A30,Table1[[Standard Indicator ID Short]:[Standard Indicator ID Short]], AC$4) &gt; 0, 1, 0)</f>
        <v>0</v>
      </c>
      <c r="AD30" s="232">
        <f>IF(SUMIFS(Table1[[Result for year]:[Result for year]],Table1[[Project reference]:[Project reference]], $A30,Table1[[Standard Indicator ID Short]:[Standard Indicator ID Short]], AD$4) &gt; 0, 1, 0)</f>
        <v>0</v>
      </c>
      <c r="AE30" s="232">
        <f>IF(SUMIFS(Table1[[Result for year]:[Result for year]],Table1[[Project reference]:[Project reference]], $A30,Table1[[Standard Indicator ID Short]:[Standard Indicator ID Short]], AE$4) &gt; 0, 1, 0)</f>
        <v>0</v>
      </c>
      <c r="AF30" s="232">
        <f>IF(SUMIFS(Table1[[Result for year]:[Result for year]],Table1[[Project reference]:[Project reference]], $A30,Table1[[Standard Indicator ID Short]:[Standard Indicator ID Short]], AF$4) &gt; 0, 1, 0)</f>
        <v>0</v>
      </c>
      <c r="AG30" s="232">
        <f>IF(SUMIFS(Table1[[Result for year]:[Result for year]],Table1[[Project reference]:[Project reference]], $A30,Table1[[Standard Indicator ID Short]:[Standard Indicator ID Short]], AG$4) &gt; 0, 1, 0)</f>
        <v>0</v>
      </c>
      <c r="AH30" s="232">
        <f>IF(SUMIFS(Table1[[Result for year]:[Result for year]],Table1[[Project reference]:[Project reference]], $A30,Table1[[Standard Indicator ID Short]:[Standard Indicator ID Short]], AH$4) &gt; 0, 1, 0)</f>
        <v>0</v>
      </c>
      <c r="AI30" s="232">
        <f>IF(SUMIFS(Table1[[Result for year]:[Result for year]],Table1[[Project reference]:[Project reference]], $A30,Table1[[Standard Indicator ID Short]:[Standard Indicator ID Short]], AI$4) &gt; 0, 1, 0)</f>
        <v>0</v>
      </c>
      <c r="AJ30" s="232">
        <f>IF(SUMIFS(Table1[[Result for year]:[Result for year]],Table1[[Project reference]:[Project reference]], $A30,Table1[[Standard Indicator ID Short]:[Standard Indicator ID Short]], AJ$4) &gt; 0, 1, 0)</f>
        <v>0</v>
      </c>
      <c r="AK30" s="232">
        <f>IF(SUMIFS(Table1[[Result for year]:[Result for year]],Table1[[Project reference]:[Project reference]], $A30,Table1[[Standard Indicator ID Short]:[Standard Indicator ID Short]], AK$4) &gt; 0, 1, 0)</f>
        <v>0</v>
      </c>
      <c r="AL30" s="232">
        <f>IF(SUMIFS(Table1[[Result for year]:[Result for year]],Table1[[Project reference]:[Project reference]], $A30,Table1[[Standard Indicator ID Short]:[Standard Indicator ID Short]], AL$4) &gt; 0, 1, 0)</f>
        <v>0</v>
      </c>
      <c r="AM30" s="232">
        <f>IF(SUMIFS(Table1[[Result for year]:[Result for year]],Table1[[Project reference]:[Project reference]], $A30,Table1[[Standard Indicator ID Short]:[Standard Indicator ID Short]], AM$4) &gt; 0, 1, 0)</f>
        <v>0</v>
      </c>
      <c r="AN30" s="232">
        <f>IF(SUMIFS(Table1[[Result for year]:[Result for year]],Table1[[Project reference]:[Project reference]], $A30,Table1[[Standard Indicator ID Short]:[Standard Indicator ID Short]], AN$4) &gt; 0, 1, 0)</f>
        <v>0</v>
      </c>
      <c r="AO30" s="232">
        <f>IF(SUMIFS(Table1[[Result for year]:[Result for year]],Table1[[Project reference]:[Project reference]], $A30,Table1[[Standard Indicator ID Short]:[Standard Indicator ID Short]], AO$4) &gt; 0, 1, 0)</f>
        <v>0</v>
      </c>
      <c r="AP30" s="232">
        <f>IF(SUMIFS(Table1[[Result for year]:[Result for year]],Table1[[Project reference]:[Project reference]], $A30,Table1[[Standard Indicator ID Short]:[Standard Indicator ID Short]], AP$4) &gt; 0, 1, 0)</f>
        <v>0</v>
      </c>
      <c r="AQ30" s="232">
        <f>IF(SUMIFS(Table1[[Result for year]:[Result for year]],Table1[[Project reference]:[Project reference]], $A30,Table1[[Standard Indicator ID Short]:[Standard Indicator ID Short]], AQ$4) &gt; 0, 1, 0)</f>
        <v>0</v>
      </c>
      <c r="AR30" s="137">
        <f>IF(SUMIFS(Table1[[Result for year]:[Result for year]],Table1[[Project reference]:[Project reference]], $A30,Table1[[Standard Indicator ID Short]:[Standard Indicator ID Short]], AR$4) &gt; 0, 1, 0)</f>
        <v>0</v>
      </c>
      <c r="AS30" s="232">
        <f>IF(SUMIFS(Table1[[Result for year]:[Result for year]],Table1[[Project reference]:[Project reference]], $A30,Table1[[Standard Indicator ID Short]:[Standard Indicator ID Short]], AS$4) &gt; 0, 1, 0)</f>
        <v>0</v>
      </c>
      <c r="AT30" s="232">
        <f>IF(SUMIFS(Table1[[Result for year]:[Result for year]],Table1[[Project reference]:[Project reference]], $A30,Table1[[Standard Indicator ID Short]:[Standard Indicator ID Short]], AT$4) &gt; 0, 1, 0)</f>
        <v>0</v>
      </c>
      <c r="AU30" s="232">
        <f>IF(SUMIFS(Table1[[Result for year]:[Result for year]],Table1[[Project reference]:[Project reference]], $A30,Table1[[Standard Indicator ID Short]:[Standard Indicator ID Short]], AU$4) &gt; 0, 1, 0)</f>
        <v>0</v>
      </c>
      <c r="AV30" s="232">
        <f>IF(SUMIFS(Table1[[Result for year]:[Result for year]],Table1[[Project reference]:[Project reference]], $A30,Table1[[Standard Indicator ID Short]:[Standard Indicator ID Short]], AV$4) &gt; 0, 1, 0)</f>
        <v>0</v>
      </c>
      <c r="AW30" s="232">
        <f>IF(SUMIFS(Table1[[Result for year]:[Result for year]],Table1[[Project reference]:[Project reference]], $A30,Table1[[Standard Indicator ID Short]:[Standard Indicator ID Short]], AW$4) &gt; 0, 1, 0)</f>
        <v>0</v>
      </c>
      <c r="AX30" s="232">
        <f>IF(SUMIFS(Table1[[Result for year]:[Result for year]],Table1[[Project reference]:[Project reference]], $A30,Table1[[Standard Indicator ID Short]:[Standard Indicator ID Short]], AX$4) &gt; 0, 1, 0)</f>
        <v>0</v>
      </c>
      <c r="AY30" s="232">
        <f>IF(SUMIFS(Table1[[Result for year]:[Result for year]],Table1[[Project reference]:[Project reference]], $A30,Table1[[Standard Indicator ID Short]:[Standard Indicator ID Short]], AY$4) &gt; 0, 1, 0)</f>
        <v>0</v>
      </c>
      <c r="AZ30" s="232">
        <f>IF(SUMIFS(Table1[[Result for year]:[Result for year]],Table1[[Project reference]:[Project reference]], $A30,Table1[[Standard Indicator ID Short]:[Standard Indicator ID Short]], AZ$4) &gt; 0, 1, 0)</f>
        <v>0</v>
      </c>
      <c r="BA30" s="232">
        <f>IF(SUMIFS(Table1[[Result for year]:[Result for year]],Table1[[Project reference]:[Project reference]], $A30,Table1[[Standard Indicator ID Short]:[Standard Indicator ID Short]], BA$4) &gt; 0, 1, 0)</f>
        <v>0</v>
      </c>
      <c r="BB30" s="232">
        <f>IF(SUMIFS(Table1[[Result for year]:[Result for year]],Table1[[Project reference]:[Project reference]], $A30,Table1[[Standard Indicator ID Short]:[Standard Indicator ID Short]], BB$4) &gt; 0, 1, 0)</f>
        <v>0</v>
      </c>
      <c r="BC30" s="232">
        <f>IF(SUMIFS(Table1[[Result for year]:[Result for year]],Table1[[Project reference]:[Project reference]], $A30,Table1[[Standard Indicator ID Short]:[Standard Indicator ID Short]], BC$4) &gt; 0, 1, 0)</f>
        <v>0</v>
      </c>
      <c r="BD30" s="232">
        <f>IF(SUMIFS(Table1[[Result for year]:[Result for year]],Table1[[Project reference]:[Project reference]], $A30,Table1[[Standard Indicator ID Short]:[Standard Indicator ID Short]], BD$4) &gt; 0, 1, 0)</f>
        <v>0</v>
      </c>
      <c r="BE30" s="232">
        <f>IF(SUMIFS(Table1[[Result for year]:[Result for year]],Table1[[Project reference]:[Project reference]], $A30,Table1[[Standard Indicator ID Short]:[Standard Indicator ID Short]], BE$4) &gt; 0, 1, 0)</f>
        <v>0</v>
      </c>
      <c r="BF30" s="232">
        <f>IF(SUMIFS(Table1[[Result for year]:[Result for year]],Table1[[Project reference]:[Project reference]], $A30,Table1[[Standard Indicator ID Short]:[Standard Indicator ID Short]], BF$4) &gt; 0, 1, 0)</f>
        <v>0</v>
      </c>
      <c r="BG30" s="138">
        <f>IF(SUMIFS(Table1[[Result for year]:[Result for year]],Table1[[Project reference]:[Project reference]], $A30,Table1[[Standard Indicator ID Short]:[Standard Indicator ID Short]], BG$4) &gt; 0, 1, 0)</f>
        <v>0</v>
      </c>
      <c r="BH30" s="137">
        <f>IF(SUMIFS(Table1[[Result for year]:[Result for year]],Table1[[Project reference]:[Project reference]], $A30,Table1[[Standard Indicator ID Short]:[Standard Indicator ID Short]], BH$4) &gt; 0, 1, 0)</f>
        <v>0</v>
      </c>
      <c r="BI30" s="232">
        <f>IF(SUMIFS(Table1[[Result for year]:[Result for year]],Table1[[Project reference]:[Project reference]], $A30,Table1[[Standard Indicator ID Short]:[Standard Indicator ID Short]], BI$4) &gt; 0, 1, 0)</f>
        <v>0</v>
      </c>
      <c r="BJ30" s="138">
        <f>IF(SUMIFS(Table1[[Result for year]:[Result for year]],Table1[[Project reference]:[Project reference]], $A30,Table1[[Standard Indicator ID Short]:[Standard Indicator ID Short]], BJ$4) &gt; 0, 1, 0)</f>
        <v>0</v>
      </c>
      <c r="BK30" s="144"/>
      <c r="BL30" s="79"/>
      <c r="BM30" s="148">
        <f t="shared" si="0"/>
        <v>2</v>
      </c>
      <c r="BN30" s="79"/>
      <c r="BO30" s="78"/>
    </row>
    <row r="31" spans="1:67" ht="14.25" customHeight="1" x14ac:dyDescent="0.25">
      <c r="A31" s="170" t="s">
        <v>330</v>
      </c>
      <c r="B31" s="173" t="s">
        <v>428</v>
      </c>
      <c r="C31" s="137">
        <f>IF(SUMIFS(Table1[[Result for year]:[Result for year]],Table1[[Project reference]:[Project reference]], $A31,Table1[[Standard Indicator ID Short]:[Standard Indicator ID Short]], C$4) &gt; 0, 1, 0)</f>
        <v>0</v>
      </c>
      <c r="D31" s="232">
        <f>IF(SUMIFS(Table1[[Result for year]:[Result for year]],Table1[[Project reference]:[Project reference]], $A31,Table1[[Standard Indicator ID Short]:[Standard Indicator ID Short]], D$4) &gt; 0, 1, 0)</f>
        <v>1</v>
      </c>
      <c r="E31" s="232">
        <f>IF(SUMIFS(Table1[[Result for year]:[Result for year]],Table1[[Project reference]:[Project reference]], $A31,Table1[[Standard Indicator ID Short]:[Standard Indicator ID Short]], E$4) &gt; 0, 1, 0)</f>
        <v>1</v>
      </c>
      <c r="F31" s="232">
        <f>IF(SUMIFS(Table1[[Result for year]:[Result for year]],Table1[[Project reference]:[Project reference]], $A31,Table1[[Standard Indicator ID Short]:[Standard Indicator ID Short]], F$4) &gt; 0, 1, 0)</f>
        <v>0</v>
      </c>
      <c r="G31" s="232">
        <f>IF(SUMIFS(Table1[[Result for year]:[Result for year]],Table1[[Project reference]:[Project reference]], $A31,Table1[[Standard Indicator ID Short]:[Standard Indicator ID Short]], G$4) &gt; 0, 1, 0)</f>
        <v>0</v>
      </c>
      <c r="H31" s="232">
        <f>IF(SUMIFS(Table1[[Result for year]:[Result for year]],Table1[[Project reference]:[Project reference]], $A31,Table1[[Standard Indicator ID Short]:[Standard Indicator ID Short]], H$4) &gt; 0, 1, 0)</f>
        <v>0</v>
      </c>
      <c r="I31" s="232">
        <f>IF(SUMIFS(Table1[[Result for year]:[Result for year]],Table1[[Project reference]:[Project reference]], $A31,Table1[[Standard Indicator ID Short]:[Standard Indicator ID Short]], I$4) &gt; 0, 1, 0)</f>
        <v>1</v>
      </c>
      <c r="J31" s="232">
        <f>IF(SUMIFS(Table1[[Result for year]:[Result for year]],Table1[[Project reference]:[Project reference]], $A31,Table1[[Standard Indicator ID Short]:[Standard Indicator ID Short]], J$4) &gt; 0, 1, 0)</f>
        <v>0</v>
      </c>
      <c r="K31" s="232">
        <f>IF(SUMIFS(Table1[[Result for year]:[Result for year]],Table1[[Project reference]:[Project reference]], $A31,Table1[[Standard Indicator ID Short]:[Standard Indicator ID Short]], K$4) &gt; 0, 1, 0)</f>
        <v>0</v>
      </c>
      <c r="L31" s="232">
        <f>IF(SUMIFS(Table1[[Result for year]:[Result for year]],Table1[[Project reference]:[Project reference]], $A31,Table1[[Standard Indicator ID Short]:[Standard Indicator ID Short]], L$4) &gt; 0, 1, 0)</f>
        <v>0</v>
      </c>
      <c r="M31" s="137">
        <f>IF(SUMIFS(Table1[[Result for year]:[Result for year]],Table1[[Project reference]:[Project reference]], $A31,Table1[[Standard Indicator ID Short]:[Standard Indicator ID Short]], M$4) &gt; 0, 1, 0)</f>
        <v>0</v>
      </c>
      <c r="N31" s="232">
        <f>IF(SUMIFS(Table1[[Result for year]:[Result for year]],Table1[[Project reference]:[Project reference]], $A31,Table1[[Standard Indicator ID Short]:[Standard Indicator ID Short]], N$4) &gt; 0, 1, 0)</f>
        <v>0</v>
      </c>
      <c r="O31" s="232">
        <f>IF(SUMIFS(Table1[[Result for year]:[Result for year]],Table1[[Project reference]:[Project reference]], $A31,Table1[[Standard Indicator ID Short]:[Standard Indicator ID Short]], O$4) &gt; 0, 1, 0)</f>
        <v>0</v>
      </c>
      <c r="P31" s="232">
        <f>IF(SUMIFS(Table1[[Result for year]:[Result for year]],Table1[[Project reference]:[Project reference]], $A31,Table1[[Standard Indicator ID Short]:[Standard Indicator ID Short]], P$4) &gt; 0, 1, 0)</f>
        <v>0</v>
      </c>
      <c r="Q31" s="232">
        <f>IF(SUMIFS(Table1[[Result for year]:[Result for year]],Table1[[Project reference]:[Project reference]], $A31,Table1[[Standard Indicator ID Short]:[Standard Indicator ID Short]], Q$4) &gt; 0, 1, 0)</f>
        <v>1</v>
      </c>
      <c r="R31" s="232">
        <f>IF(SUMIFS(Table1[[Result for year]:[Result for year]],Table1[[Project reference]:[Project reference]], $A31,Table1[[Standard Indicator ID Short]:[Standard Indicator ID Short]], R$4) &gt; 0, 1, 0)</f>
        <v>0</v>
      </c>
      <c r="S31" s="232">
        <f>IF(SUMIFS(Table1[[Result for year]:[Result for year]],Table1[[Project reference]:[Project reference]], $A31,Table1[[Standard Indicator ID Short]:[Standard Indicator ID Short]], S$4) &gt; 0, 1, 0)</f>
        <v>0</v>
      </c>
      <c r="T31" s="232">
        <f>IF(SUMIFS(Table1[[Result for year]:[Result for year]],Table1[[Project reference]:[Project reference]], $A31,Table1[[Standard Indicator ID Short]:[Standard Indicator ID Short]], T$4) &gt; 0, 1, 0)</f>
        <v>0</v>
      </c>
      <c r="U31" s="232">
        <f>IF(SUMIFS(Table1[[Result for year]:[Result for year]],Table1[[Project reference]:[Project reference]], $A31,Table1[[Standard Indicator ID Short]:[Standard Indicator ID Short]], U$4) &gt; 0, 1, 0)</f>
        <v>0</v>
      </c>
      <c r="V31" s="232">
        <f>IF(SUMIFS(Table1[[Result for year]:[Result for year]],Table1[[Project reference]:[Project reference]], $A31,Table1[[Standard Indicator ID Short]:[Standard Indicator ID Short]], V$4) &gt; 0, 1, 0)</f>
        <v>0</v>
      </c>
      <c r="W31" s="232">
        <f>IF(SUMIFS(Table1[[Result for year]:[Result for year]],Table1[[Project reference]:[Project reference]], $A31,Table1[[Standard Indicator ID Short]:[Standard Indicator ID Short]], W$4) &gt; 0, 1, 0)</f>
        <v>0</v>
      </c>
      <c r="X31" s="232">
        <f>IF(SUMIFS(Table1[[Result for year]:[Result for year]],Table1[[Project reference]:[Project reference]], $A31,Table1[[Standard Indicator ID Short]:[Standard Indicator ID Short]], X$4) &gt; 0, 1, 0)</f>
        <v>0</v>
      </c>
      <c r="Y31" s="137">
        <f>IF(SUMIFS(Table1[[Result for year]:[Result for year]],Table1[[Project reference]:[Project reference]], $A31,Table1[[Standard Indicator ID Short]:[Standard Indicator ID Short]], Y$4) &gt; 0, 1, 0)</f>
        <v>0</v>
      </c>
      <c r="Z31" s="232">
        <f>IF(SUMIFS(Table1[[Result for year]:[Result for year]],Table1[[Project reference]:[Project reference]], $A31,Table1[[Standard Indicator ID Short]:[Standard Indicator ID Short]], Z$4) &gt; 0, 1, 0)</f>
        <v>0</v>
      </c>
      <c r="AA31" s="232">
        <f>IF(SUMIFS(Table1[[Result for year]:[Result for year]],Table1[[Project reference]:[Project reference]], $A31,Table1[[Standard Indicator ID Short]:[Standard Indicator ID Short]], AA$4) &gt; 0, 1, 0)</f>
        <v>0</v>
      </c>
      <c r="AB31" s="232">
        <f>IF(SUMIFS(Table1[[Result for year]:[Result for year]],Table1[[Project reference]:[Project reference]], $A31,Table1[[Standard Indicator ID Short]:[Standard Indicator ID Short]], AB$4) &gt; 0, 1, 0)</f>
        <v>0</v>
      </c>
      <c r="AC31" s="232">
        <f>IF(SUMIFS(Table1[[Result for year]:[Result for year]],Table1[[Project reference]:[Project reference]], $A31,Table1[[Standard Indicator ID Short]:[Standard Indicator ID Short]], AC$4) &gt; 0, 1, 0)</f>
        <v>0</v>
      </c>
      <c r="AD31" s="232">
        <f>IF(SUMIFS(Table1[[Result for year]:[Result for year]],Table1[[Project reference]:[Project reference]], $A31,Table1[[Standard Indicator ID Short]:[Standard Indicator ID Short]], AD$4) &gt; 0, 1, 0)</f>
        <v>0</v>
      </c>
      <c r="AE31" s="232">
        <f>IF(SUMIFS(Table1[[Result for year]:[Result for year]],Table1[[Project reference]:[Project reference]], $A31,Table1[[Standard Indicator ID Short]:[Standard Indicator ID Short]], AE$4) &gt; 0, 1, 0)</f>
        <v>0</v>
      </c>
      <c r="AF31" s="232">
        <f>IF(SUMIFS(Table1[[Result for year]:[Result for year]],Table1[[Project reference]:[Project reference]], $A31,Table1[[Standard Indicator ID Short]:[Standard Indicator ID Short]], AF$4) &gt; 0, 1, 0)</f>
        <v>0</v>
      </c>
      <c r="AG31" s="232">
        <f>IF(SUMIFS(Table1[[Result for year]:[Result for year]],Table1[[Project reference]:[Project reference]], $A31,Table1[[Standard Indicator ID Short]:[Standard Indicator ID Short]], AG$4) &gt; 0, 1, 0)</f>
        <v>0</v>
      </c>
      <c r="AH31" s="232">
        <f>IF(SUMIFS(Table1[[Result for year]:[Result for year]],Table1[[Project reference]:[Project reference]], $A31,Table1[[Standard Indicator ID Short]:[Standard Indicator ID Short]], AH$4) &gt; 0, 1, 0)</f>
        <v>0</v>
      </c>
      <c r="AI31" s="232">
        <f>IF(SUMIFS(Table1[[Result for year]:[Result for year]],Table1[[Project reference]:[Project reference]], $A31,Table1[[Standard Indicator ID Short]:[Standard Indicator ID Short]], AI$4) &gt; 0, 1, 0)</f>
        <v>0</v>
      </c>
      <c r="AJ31" s="232">
        <f>IF(SUMIFS(Table1[[Result for year]:[Result for year]],Table1[[Project reference]:[Project reference]], $A31,Table1[[Standard Indicator ID Short]:[Standard Indicator ID Short]], AJ$4) &gt; 0, 1, 0)</f>
        <v>0</v>
      </c>
      <c r="AK31" s="232">
        <f>IF(SUMIFS(Table1[[Result for year]:[Result for year]],Table1[[Project reference]:[Project reference]], $A31,Table1[[Standard Indicator ID Short]:[Standard Indicator ID Short]], AK$4) &gt; 0, 1, 0)</f>
        <v>1</v>
      </c>
      <c r="AL31" s="232">
        <f>IF(SUMIFS(Table1[[Result for year]:[Result for year]],Table1[[Project reference]:[Project reference]], $A31,Table1[[Standard Indicator ID Short]:[Standard Indicator ID Short]], AL$4) &gt; 0, 1, 0)</f>
        <v>0</v>
      </c>
      <c r="AM31" s="232">
        <f>IF(SUMIFS(Table1[[Result for year]:[Result for year]],Table1[[Project reference]:[Project reference]], $A31,Table1[[Standard Indicator ID Short]:[Standard Indicator ID Short]], AM$4) &gt; 0, 1, 0)</f>
        <v>0</v>
      </c>
      <c r="AN31" s="232">
        <f>IF(SUMIFS(Table1[[Result for year]:[Result for year]],Table1[[Project reference]:[Project reference]], $A31,Table1[[Standard Indicator ID Short]:[Standard Indicator ID Short]], AN$4) &gt; 0, 1, 0)</f>
        <v>0</v>
      </c>
      <c r="AO31" s="232">
        <f>IF(SUMIFS(Table1[[Result for year]:[Result for year]],Table1[[Project reference]:[Project reference]], $A31,Table1[[Standard Indicator ID Short]:[Standard Indicator ID Short]], AO$4) &gt; 0, 1, 0)</f>
        <v>0</v>
      </c>
      <c r="AP31" s="232">
        <f>IF(SUMIFS(Table1[[Result for year]:[Result for year]],Table1[[Project reference]:[Project reference]], $A31,Table1[[Standard Indicator ID Short]:[Standard Indicator ID Short]], AP$4) &gt; 0, 1, 0)</f>
        <v>0</v>
      </c>
      <c r="AQ31" s="232">
        <f>IF(SUMIFS(Table1[[Result for year]:[Result for year]],Table1[[Project reference]:[Project reference]], $A31,Table1[[Standard Indicator ID Short]:[Standard Indicator ID Short]], AQ$4) &gt; 0, 1, 0)</f>
        <v>0</v>
      </c>
      <c r="AR31" s="137">
        <f>IF(SUMIFS(Table1[[Result for year]:[Result for year]],Table1[[Project reference]:[Project reference]], $A31,Table1[[Standard Indicator ID Short]:[Standard Indicator ID Short]], AR$4) &gt; 0, 1, 0)</f>
        <v>0</v>
      </c>
      <c r="AS31" s="232">
        <f>IF(SUMIFS(Table1[[Result for year]:[Result for year]],Table1[[Project reference]:[Project reference]], $A31,Table1[[Standard Indicator ID Short]:[Standard Indicator ID Short]], AS$4) &gt; 0, 1, 0)</f>
        <v>0</v>
      </c>
      <c r="AT31" s="232">
        <f>IF(SUMIFS(Table1[[Result for year]:[Result for year]],Table1[[Project reference]:[Project reference]], $A31,Table1[[Standard Indicator ID Short]:[Standard Indicator ID Short]], AT$4) &gt; 0, 1, 0)</f>
        <v>0</v>
      </c>
      <c r="AU31" s="232">
        <f>IF(SUMIFS(Table1[[Result for year]:[Result for year]],Table1[[Project reference]:[Project reference]], $A31,Table1[[Standard Indicator ID Short]:[Standard Indicator ID Short]], AU$4) &gt; 0, 1, 0)</f>
        <v>0</v>
      </c>
      <c r="AV31" s="232">
        <f>IF(SUMIFS(Table1[[Result for year]:[Result for year]],Table1[[Project reference]:[Project reference]], $A31,Table1[[Standard Indicator ID Short]:[Standard Indicator ID Short]], AV$4) &gt; 0, 1, 0)</f>
        <v>0</v>
      </c>
      <c r="AW31" s="232">
        <f>IF(SUMIFS(Table1[[Result for year]:[Result for year]],Table1[[Project reference]:[Project reference]], $A31,Table1[[Standard Indicator ID Short]:[Standard Indicator ID Short]], AW$4) &gt; 0, 1, 0)</f>
        <v>0</v>
      </c>
      <c r="AX31" s="232">
        <f>IF(SUMIFS(Table1[[Result for year]:[Result for year]],Table1[[Project reference]:[Project reference]], $A31,Table1[[Standard Indicator ID Short]:[Standard Indicator ID Short]], AX$4) &gt; 0, 1, 0)</f>
        <v>0</v>
      </c>
      <c r="AY31" s="232">
        <f>IF(SUMIFS(Table1[[Result for year]:[Result for year]],Table1[[Project reference]:[Project reference]], $A31,Table1[[Standard Indicator ID Short]:[Standard Indicator ID Short]], AY$4) &gt; 0, 1, 0)</f>
        <v>0</v>
      </c>
      <c r="AZ31" s="232">
        <f>IF(SUMIFS(Table1[[Result for year]:[Result for year]],Table1[[Project reference]:[Project reference]], $A31,Table1[[Standard Indicator ID Short]:[Standard Indicator ID Short]], AZ$4) &gt; 0, 1, 0)</f>
        <v>0</v>
      </c>
      <c r="BA31" s="232">
        <f>IF(SUMIFS(Table1[[Result for year]:[Result for year]],Table1[[Project reference]:[Project reference]], $A31,Table1[[Standard Indicator ID Short]:[Standard Indicator ID Short]], BA$4) &gt; 0, 1, 0)</f>
        <v>0</v>
      </c>
      <c r="BB31" s="232">
        <f>IF(SUMIFS(Table1[[Result for year]:[Result for year]],Table1[[Project reference]:[Project reference]], $A31,Table1[[Standard Indicator ID Short]:[Standard Indicator ID Short]], BB$4) &gt; 0, 1, 0)</f>
        <v>0</v>
      </c>
      <c r="BC31" s="232">
        <f>IF(SUMIFS(Table1[[Result for year]:[Result for year]],Table1[[Project reference]:[Project reference]], $A31,Table1[[Standard Indicator ID Short]:[Standard Indicator ID Short]], BC$4) &gt; 0, 1, 0)</f>
        <v>0</v>
      </c>
      <c r="BD31" s="232">
        <f>IF(SUMIFS(Table1[[Result for year]:[Result for year]],Table1[[Project reference]:[Project reference]], $A31,Table1[[Standard Indicator ID Short]:[Standard Indicator ID Short]], BD$4) &gt; 0, 1, 0)</f>
        <v>0</v>
      </c>
      <c r="BE31" s="232">
        <f>IF(SUMIFS(Table1[[Result for year]:[Result for year]],Table1[[Project reference]:[Project reference]], $A31,Table1[[Standard Indicator ID Short]:[Standard Indicator ID Short]], BE$4) &gt; 0, 1, 0)</f>
        <v>0</v>
      </c>
      <c r="BF31" s="232">
        <f>IF(SUMIFS(Table1[[Result for year]:[Result for year]],Table1[[Project reference]:[Project reference]], $A31,Table1[[Standard Indicator ID Short]:[Standard Indicator ID Short]], BF$4) &gt; 0, 1, 0)</f>
        <v>0</v>
      </c>
      <c r="BG31" s="138">
        <f>IF(SUMIFS(Table1[[Result for year]:[Result for year]],Table1[[Project reference]:[Project reference]], $A31,Table1[[Standard Indicator ID Short]:[Standard Indicator ID Short]], BG$4) &gt; 0, 1, 0)</f>
        <v>0</v>
      </c>
      <c r="BH31" s="137">
        <f>IF(SUMIFS(Table1[[Result for year]:[Result for year]],Table1[[Project reference]:[Project reference]], $A31,Table1[[Standard Indicator ID Short]:[Standard Indicator ID Short]], BH$4) &gt; 0, 1, 0)</f>
        <v>0</v>
      </c>
      <c r="BI31" s="232">
        <f>IF(SUMIFS(Table1[[Result for year]:[Result for year]],Table1[[Project reference]:[Project reference]], $A31,Table1[[Standard Indicator ID Short]:[Standard Indicator ID Short]], BI$4) &gt; 0, 1, 0)</f>
        <v>0</v>
      </c>
      <c r="BJ31" s="138">
        <f>IF(SUMIFS(Table1[[Result for year]:[Result for year]],Table1[[Project reference]:[Project reference]], $A31,Table1[[Standard Indicator ID Short]:[Standard Indicator ID Short]], BJ$4) &gt; 0, 1, 0)</f>
        <v>0</v>
      </c>
      <c r="BK31" s="144"/>
      <c r="BL31" s="79"/>
      <c r="BM31" s="148">
        <f t="shared" si="0"/>
        <v>5</v>
      </c>
      <c r="BN31" s="79"/>
      <c r="BO31" s="78"/>
    </row>
    <row r="32" spans="1:67" ht="14.25" customHeight="1" x14ac:dyDescent="0.25">
      <c r="A32" s="170" t="s">
        <v>331</v>
      </c>
      <c r="B32" s="173" t="s">
        <v>429</v>
      </c>
      <c r="C32" s="137">
        <f>IF(SUMIFS(Table1[[Result for year]:[Result for year]],Table1[[Project reference]:[Project reference]], $A32,Table1[[Standard Indicator ID Short]:[Standard Indicator ID Short]], C$4) &gt; 0, 1, 0)</f>
        <v>0</v>
      </c>
      <c r="D32" s="232">
        <f>IF(SUMIFS(Table1[[Result for year]:[Result for year]],Table1[[Project reference]:[Project reference]], $A32,Table1[[Standard Indicator ID Short]:[Standard Indicator ID Short]], D$4) &gt; 0, 1, 0)</f>
        <v>0</v>
      </c>
      <c r="E32" s="232">
        <f>IF(SUMIFS(Table1[[Result for year]:[Result for year]],Table1[[Project reference]:[Project reference]], $A32,Table1[[Standard Indicator ID Short]:[Standard Indicator ID Short]], E$4) &gt; 0, 1, 0)</f>
        <v>1</v>
      </c>
      <c r="F32" s="232">
        <f>IF(SUMIFS(Table1[[Result for year]:[Result for year]],Table1[[Project reference]:[Project reference]], $A32,Table1[[Standard Indicator ID Short]:[Standard Indicator ID Short]], F$4) &gt; 0, 1, 0)</f>
        <v>1</v>
      </c>
      <c r="G32" s="232">
        <f>IF(SUMIFS(Table1[[Result for year]:[Result for year]],Table1[[Project reference]:[Project reference]], $A32,Table1[[Standard Indicator ID Short]:[Standard Indicator ID Short]], G$4) &gt; 0, 1, 0)</f>
        <v>0</v>
      </c>
      <c r="H32" s="232">
        <f>IF(SUMIFS(Table1[[Result for year]:[Result for year]],Table1[[Project reference]:[Project reference]], $A32,Table1[[Standard Indicator ID Short]:[Standard Indicator ID Short]], H$4) &gt; 0, 1, 0)</f>
        <v>0</v>
      </c>
      <c r="I32" s="232">
        <f>IF(SUMIFS(Table1[[Result for year]:[Result for year]],Table1[[Project reference]:[Project reference]], $A32,Table1[[Standard Indicator ID Short]:[Standard Indicator ID Short]], I$4) &gt; 0, 1, 0)</f>
        <v>0</v>
      </c>
      <c r="J32" s="232">
        <f>IF(SUMIFS(Table1[[Result for year]:[Result for year]],Table1[[Project reference]:[Project reference]], $A32,Table1[[Standard Indicator ID Short]:[Standard Indicator ID Short]], J$4) &gt; 0, 1, 0)</f>
        <v>0</v>
      </c>
      <c r="K32" s="232">
        <f>IF(SUMIFS(Table1[[Result for year]:[Result for year]],Table1[[Project reference]:[Project reference]], $A32,Table1[[Standard Indicator ID Short]:[Standard Indicator ID Short]], K$4) &gt; 0, 1, 0)</f>
        <v>0</v>
      </c>
      <c r="L32" s="232">
        <f>IF(SUMIFS(Table1[[Result for year]:[Result for year]],Table1[[Project reference]:[Project reference]], $A32,Table1[[Standard Indicator ID Short]:[Standard Indicator ID Short]], L$4) &gt; 0, 1, 0)</f>
        <v>0</v>
      </c>
      <c r="M32" s="137">
        <f>IF(SUMIFS(Table1[[Result for year]:[Result for year]],Table1[[Project reference]:[Project reference]], $A32,Table1[[Standard Indicator ID Short]:[Standard Indicator ID Short]], M$4) &gt; 0, 1, 0)</f>
        <v>0</v>
      </c>
      <c r="N32" s="232">
        <f>IF(SUMIFS(Table1[[Result for year]:[Result for year]],Table1[[Project reference]:[Project reference]], $A32,Table1[[Standard Indicator ID Short]:[Standard Indicator ID Short]], N$4) &gt; 0, 1, 0)</f>
        <v>0</v>
      </c>
      <c r="O32" s="232">
        <f>IF(SUMIFS(Table1[[Result for year]:[Result for year]],Table1[[Project reference]:[Project reference]], $A32,Table1[[Standard Indicator ID Short]:[Standard Indicator ID Short]], O$4) &gt; 0, 1, 0)</f>
        <v>0</v>
      </c>
      <c r="P32" s="232">
        <f>IF(SUMIFS(Table1[[Result for year]:[Result for year]],Table1[[Project reference]:[Project reference]], $A32,Table1[[Standard Indicator ID Short]:[Standard Indicator ID Short]], P$4) &gt; 0, 1, 0)</f>
        <v>0</v>
      </c>
      <c r="Q32" s="232">
        <f>IF(SUMIFS(Table1[[Result for year]:[Result for year]],Table1[[Project reference]:[Project reference]], $A32,Table1[[Standard Indicator ID Short]:[Standard Indicator ID Short]], Q$4) &gt; 0, 1, 0)</f>
        <v>0</v>
      </c>
      <c r="R32" s="232">
        <f>IF(SUMIFS(Table1[[Result for year]:[Result for year]],Table1[[Project reference]:[Project reference]], $A32,Table1[[Standard Indicator ID Short]:[Standard Indicator ID Short]], R$4) &gt; 0, 1, 0)</f>
        <v>0</v>
      </c>
      <c r="S32" s="232">
        <f>IF(SUMIFS(Table1[[Result for year]:[Result for year]],Table1[[Project reference]:[Project reference]], $A32,Table1[[Standard Indicator ID Short]:[Standard Indicator ID Short]], S$4) &gt; 0, 1, 0)</f>
        <v>0</v>
      </c>
      <c r="T32" s="232">
        <f>IF(SUMIFS(Table1[[Result for year]:[Result for year]],Table1[[Project reference]:[Project reference]], $A32,Table1[[Standard Indicator ID Short]:[Standard Indicator ID Short]], T$4) &gt; 0, 1, 0)</f>
        <v>0</v>
      </c>
      <c r="U32" s="232">
        <f>IF(SUMIFS(Table1[[Result for year]:[Result for year]],Table1[[Project reference]:[Project reference]], $A32,Table1[[Standard Indicator ID Short]:[Standard Indicator ID Short]], U$4) &gt; 0, 1, 0)</f>
        <v>0</v>
      </c>
      <c r="V32" s="232">
        <f>IF(SUMIFS(Table1[[Result for year]:[Result for year]],Table1[[Project reference]:[Project reference]], $A32,Table1[[Standard Indicator ID Short]:[Standard Indicator ID Short]], V$4) &gt; 0, 1, 0)</f>
        <v>0</v>
      </c>
      <c r="W32" s="232">
        <f>IF(SUMIFS(Table1[[Result for year]:[Result for year]],Table1[[Project reference]:[Project reference]], $A32,Table1[[Standard Indicator ID Short]:[Standard Indicator ID Short]], W$4) &gt; 0, 1, 0)</f>
        <v>0</v>
      </c>
      <c r="X32" s="232">
        <f>IF(SUMIFS(Table1[[Result for year]:[Result for year]],Table1[[Project reference]:[Project reference]], $A32,Table1[[Standard Indicator ID Short]:[Standard Indicator ID Short]], X$4) &gt; 0, 1, 0)</f>
        <v>0</v>
      </c>
      <c r="Y32" s="137">
        <f>IF(SUMIFS(Table1[[Result for year]:[Result for year]],Table1[[Project reference]:[Project reference]], $A32,Table1[[Standard Indicator ID Short]:[Standard Indicator ID Short]], Y$4) &gt; 0, 1, 0)</f>
        <v>0</v>
      </c>
      <c r="Z32" s="232">
        <f>IF(SUMIFS(Table1[[Result for year]:[Result for year]],Table1[[Project reference]:[Project reference]], $A32,Table1[[Standard Indicator ID Short]:[Standard Indicator ID Short]], Z$4) &gt; 0, 1, 0)</f>
        <v>0</v>
      </c>
      <c r="AA32" s="232">
        <f>IF(SUMIFS(Table1[[Result for year]:[Result for year]],Table1[[Project reference]:[Project reference]], $A32,Table1[[Standard Indicator ID Short]:[Standard Indicator ID Short]], AA$4) &gt; 0, 1, 0)</f>
        <v>0</v>
      </c>
      <c r="AB32" s="232">
        <f>IF(SUMIFS(Table1[[Result for year]:[Result for year]],Table1[[Project reference]:[Project reference]], $A32,Table1[[Standard Indicator ID Short]:[Standard Indicator ID Short]], AB$4) &gt; 0, 1, 0)</f>
        <v>0</v>
      </c>
      <c r="AC32" s="232">
        <f>IF(SUMIFS(Table1[[Result for year]:[Result for year]],Table1[[Project reference]:[Project reference]], $A32,Table1[[Standard Indicator ID Short]:[Standard Indicator ID Short]], AC$4) &gt; 0, 1, 0)</f>
        <v>1</v>
      </c>
      <c r="AD32" s="232">
        <f>IF(SUMIFS(Table1[[Result for year]:[Result for year]],Table1[[Project reference]:[Project reference]], $A32,Table1[[Standard Indicator ID Short]:[Standard Indicator ID Short]], AD$4) &gt; 0, 1, 0)</f>
        <v>0</v>
      </c>
      <c r="AE32" s="232">
        <f>IF(SUMIFS(Table1[[Result for year]:[Result for year]],Table1[[Project reference]:[Project reference]], $A32,Table1[[Standard Indicator ID Short]:[Standard Indicator ID Short]], AE$4) &gt; 0, 1, 0)</f>
        <v>0</v>
      </c>
      <c r="AF32" s="232">
        <f>IF(SUMIFS(Table1[[Result for year]:[Result for year]],Table1[[Project reference]:[Project reference]], $A32,Table1[[Standard Indicator ID Short]:[Standard Indicator ID Short]], AF$4) &gt; 0, 1, 0)</f>
        <v>0</v>
      </c>
      <c r="AG32" s="232">
        <f>IF(SUMIFS(Table1[[Result for year]:[Result for year]],Table1[[Project reference]:[Project reference]], $A32,Table1[[Standard Indicator ID Short]:[Standard Indicator ID Short]], AG$4) &gt; 0, 1, 0)</f>
        <v>0</v>
      </c>
      <c r="AH32" s="232">
        <f>IF(SUMIFS(Table1[[Result for year]:[Result for year]],Table1[[Project reference]:[Project reference]], $A32,Table1[[Standard Indicator ID Short]:[Standard Indicator ID Short]], AH$4) &gt; 0, 1, 0)</f>
        <v>0</v>
      </c>
      <c r="AI32" s="232">
        <f>IF(SUMIFS(Table1[[Result for year]:[Result for year]],Table1[[Project reference]:[Project reference]], $A32,Table1[[Standard Indicator ID Short]:[Standard Indicator ID Short]], AI$4) &gt; 0, 1, 0)</f>
        <v>0</v>
      </c>
      <c r="AJ32" s="232">
        <f>IF(SUMIFS(Table1[[Result for year]:[Result for year]],Table1[[Project reference]:[Project reference]], $A32,Table1[[Standard Indicator ID Short]:[Standard Indicator ID Short]], AJ$4) &gt; 0, 1, 0)</f>
        <v>1</v>
      </c>
      <c r="AK32" s="232">
        <f>IF(SUMIFS(Table1[[Result for year]:[Result for year]],Table1[[Project reference]:[Project reference]], $A32,Table1[[Standard Indicator ID Short]:[Standard Indicator ID Short]], AK$4) &gt; 0, 1, 0)</f>
        <v>0</v>
      </c>
      <c r="AL32" s="232">
        <f>IF(SUMIFS(Table1[[Result for year]:[Result for year]],Table1[[Project reference]:[Project reference]], $A32,Table1[[Standard Indicator ID Short]:[Standard Indicator ID Short]], AL$4) &gt; 0, 1, 0)</f>
        <v>0</v>
      </c>
      <c r="AM32" s="232">
        <f>IF(SUMIFS(Table1[[Result for year]:[Result for year]],Table1[[Project reference]:[Project reference]], $A32,Table1[[Standard Indicator ID Short]:[Standard Indicator ID Short]], AM$4) &gt; 0, 1, 0)</f>
        <v>0</v>
      </c>
      <c r="AN32" s="232">
        <f>IF(SUMIFS(Table1[[Result for year]:[Result for year]],Table1[[Project reference]:[Project reference]], $A32,Table1[[Standard Indicator ID Short]:[Standard Indicator ID Short]], AN$4) &gt; 0, 1, 0)</f>
        <v>0</v>
      </c>
      <c r="AO32" s="232">
        <f>IF(SUMIFS(Table1[[Result for year]:[Result for year]],Table1[[Project reference]:[Project reference]], $A32,Table1[[Standard Indicator ID Short]:[Standard Indicator ID Short]], AO$4) &gt; 0, 1, 0)</f>
        <v>0</v>
      </c>
      <c r="AP32" s="232">
        <f>IF(SUMIFS(Table1[[Result for year]:[Result for year]],Table1[[Project reference]:[Project reference]], $A32,Table1[[Standard Indicator ID Short]:[Standard Indicator ID Short]], AP$4) &gt; 0, 1, 0)</f>
        <v>0</v>
      </c>
      <c r="AQ32" s="232">
        <f>IF(SUMIFS(Table1[[Result for year]:[Result for year]],Table1[[Project reference]:[Project reference]], $A32,Table1[[Standard Indicator ID Short]:[Standard Indicator ID Short]], AQ$4) &gt; 0, 1, 0)</f>
        <v>0</v>
      </c>
      <c r="AR32" s="137">
        <f>IF(SUMIFS(Table1[[Result for year]:[Result for year]],Table1[[Project reference]:[Project reference]], $A32,Table1[[Standard Indicator ID Short]:[Standard Indicator ID Short]], AR$4) &gt; 0, 1, 0)</f>
        <v>0</v>
      </c>
      <c r="AS32" s="232">
        <f>IF(SUMIFS(Table1[[Result for year]:[Result for year]],Table1[[Project reference]:[Project reference]], $A32,Table1[[Standard Indicator ID Short]:[Standard Indicator ID Short]], AS$4) &gt; 0, 1, 0)</f>
        <v>0</v>
      </c>
      <c r="AT32" s="232">
        <f>IF(SUMIFS(Table1[[Result for year]:[Result for year]],Table1[[Project reference]:[Project reference]], $A32,Table1[[Standard Indicator ID Short]:[Standard Indicator ID Short]], AT$4) &gt; 0, 1, 0)</f>
        <v>0</v>
      </c>
      <c r="AU32" s="232">
        <f>IF(SUMIFS(Table1[[Result for year]:[Result for year]],Table1[[Project reference]:[Project reference]], $A32,Table1[[Standard Indicator ID Short]:[Standard Indicator ID Short]], AU$4) &gt; 0, 1, 0)</f>
        <v>0</v>
      </c>
      <c r="AV32" s="232">
        <f>IF(SUMIFS(Table1[[Result for year]:[Result for year]],Table1[[Project reference]:[Project reference]], $A32,Table1[[Standard Indicator ID Short]:[Standard Indicator ID Short]], AV$4) &gt; 0, 1, 0)</f>
        <v>0</v>
      </c>
      <c r="AW32" s="232">
        <f>IF(SUMIFS(Table1[[Result for year]:[Result for year]],Table1[[Project reference]:[Project reference]], $A32,Table1[[Standard Indicator ID Short]:[Standard Indicator ID Short]], AW$4) &gt; 0, 1, 0)</f>
        <v>0</v>
      </c>
      <c r="AX32" s="232">
        <f>IF(SUMIFS(Table1[[Result for year]:[Result for year]],Table1[[Project reference]:[Project reference]], $A32,Table1[[Standard Indicator ID Short]:[Standard Indicator ID Short]], AX$4) &gt; 0, 1, 0)</f>
        <v>0</v>
      </c>
      <c r="AY32" s="232">
        <f>IF(SUMIFS(Table1[[Result for year]:[Result for year]],Table1[[Project reference]:[Project reference]], $A32,Table1[[Standard Indicator ID Short]:[Standard Indicator ID Short]], AY$4) &gt; 0, 1, 0)</f>
        <v>0</v>
      </c>
      <c r="AZ32" s="232">
        <f>IF(SUMIFS(Table1[[Result for year]:[Result for year]],Table1[[Project reference]:[Project reference]], $A32,Table1[[Standard Indicator ID Short]:[Standard Indicator ID Short]], AZ$4) &gt; 0, 1, 0)</f>
        <v>0</v>
      </c>
      <c r="BA32" s="232">
        <f>IF(SUMIFS(Table1[[Result for year]:[Result for year]],Table1[[Project reference]:[Project reference]], $A32,Table1[[Standard Indicator ID Short]:[Standard Indicator ID Short]], BA$4) &gt; 0, 1, 0)</f>
        <v>0</v>
      </c>
      <c r="BB32" s="232">
        <f>IF(SUMIFS(Table1[[Result for year]:[Result for year]],Table1[[Project reference]:[Project reference]], $A32,Table1[[Standard Indicator ID Short]:[Standard Indicator ID Short]], BB$4) &gt; 0, 1, 0)</f>
        <v>0</v>
      </c>
      <c r="BC32" s="232">
        <f>IF(SUMIFS(Table1[[Result for year]:[Result for year]],Table1[[Project reference]:[Project reference]], $A32,Table1[[Standard Indicator ID Short]:[Standard Indicator ID Short]], BC$4) &gt; 0, 1, 0)</f>
        <v>0</v>
      </c>
      <c r="BD32" s="232">
        <f>IF(SUMIFS(Table1[[Result for year]:[Result for year]],Table1[[Project reference]:[Project reference]], $A32,Table1[[Standard Indicator ID Short]:[Standard Indicator ID Short]], BD$4) &gt; 0, 1, 0)</f>
        <v>0</v>
      </c>
      <c r="BE32" s="232">
        <f>IF(SUMIFS(Table1[[Result for year]:[Result for year]],Table1[[Project reference]:[Project reference]], $A32,Table1[[Standard Indicator ID Short]:[Standard Indicator ID Short]], BE$4) &gt; 0, 1, 0)</f>
        <v>0</v>
      </c>
      <c r="BF32" s="232">
        <f>IF(SUMIFS(Table1[[Result for year]:[Result for year]],Table1[[Project reference]:[Project reference]], $A32,Table1[[Standard Indicator ID Short]:[Standard Indicator ID Short]], BF$4) &gt; 0, 1, 0)</f>
        <v>0</v>
      </c>
      <c r="BG32" s="138">
        <f>IF(SUMIFS(Table1[[Result for year]:[Result for year]],Table1[[Project reference]:[Project reference]], $A32,Table1[[Standard Indicator ID Short]:[Standard Indicator ID Short]], BG$4) &gt; 0, 1, 0)</f>
        <v>0</v>
      </c>
      <c r="BH32" s="137">
        <f>IF(SUMIFS(Table1[[Result for year]:[Result for year]],Table1[[Project reference]:[Project reference]], $A32,Table1[[Standard Indicator ID Short]:[Standard Indicator ID Short]], BH$4) &gt; 0, 1, 0)</f>
        <v>0</v>
      </c>
      <c r="BI32" s="232">
        <f>IF(SUMIFS(Table1[[Result for year]:[Result for year]],Table1[[Project reference]:[Project reference]], $A32,Table1[[Standard Indicator ID Short]:[Standard Indicator ID Short]], BI$4) &gt; 0, 1, 0)</f>
        <v>0</v>
      </c>
      <c r="BJ32" s="138">
        <f>IF(SUMIFS(Table1[[Result for year]:[Result for year]],Table1[[Project reference]:[Project reference]], $A32,Table1[[Standard Indicator ID Short]:[Standard Indicator ID Short]], BJ$4) &gt; 0, 1, 0)</f>
        <v>0</v>
      </c>
      <c r="BK32" s="144"/>
      <c r="BL32" s="79"/>
      <c r="BM32" s="148">
        <f t="shared" si="0"/>
        <v>4</v>
      </c>
      <c r="BN32" s="79"/>
      <c r="BO32" s="78"/>
    </row>
    <row r="33" spans="1:67" ht="14.25" customHeight="1" x14ac:dyDescent="0.25">
      <c r="A33" s="171" t="s">
        <v>332</v>
      </c>
      <c r="B33" s="174" t="s">
        <v>430</v>
      </c>
      <c r="C33" s="139">
        <f>IF(SUMIFS(Table1[[Result for year]:[Result for year]],Table1[[Project reference]:[Project reference]], $A33,Table1[[Standard Indicator ID Short]:[Standard Indicator ID Short]], C$4) &gt; 0, 1, 0)</f>
        <v>1</v>
      </c>
      <c r="D33" s="140">
        <f>IF(SUMIFS(Table1[[Result for year]:[Result for year]],Table1[[Project reference]:[Project reference]], $A33,Table1[[Standard Indicator ID Short]:[Standard Indicator ID Short]], D$4) &gt; 0, 1, 0)</f>
        <v>0</v>
      </c>
      <c r="E33" s="140">
        <f>IF(SUMIFS(Table1[[Result for year]:[Result for year]],Table1[[Project reference]:[Project reference]], $A33,Table1[[Standard Indicator ID Short]:[Standard Indicator ID Short]], E$4) &gt; 0, 1, 0)</f>
        <v>0</v>
      </c>
      <c r="F33" s="140">
        <f>IF(SUMIFS(Table1[[Result for year]:[Result for year]],Table1[[Project reference]:[Project reference]], $A33,Table1[[Standard Indicator ID Short]:[Standard Indicator ID Short]], F$4) &gt; 0, 1, 0)</f>
        <v>0</v>
      </c>
      <c r="G33" s="140">
        <f>IF(SUMIFS(Table1[[Result for year]:[Result for year]],Table1[[Project reference]:[Project reference]], $A33,Table1[[Standard Indicator ID Short]:[Standard Indicator ID Short]], G$4) &gt; 0, 1, 0)</f>
        <v>0</v>
      </c>
      <c r="H33" s="140">
        <f>IF(SUMIFS(Table1[[Result for year]:[Result for year]],Table1[[Project reference]:[Project reference]], $A33,Table1[[Standard Indicator ID Short]:[Standard Indicator ID Short]], H$4) &gt; 0, 1, 0)</f>
        <v>0</v>
      </c>
      <c r="I33" s="140">
        <f>IF(SUMIFS(Table1[[Result for year]:[Result for year]],Table1[[Project reference]:[Project reference]], $A33,Table1[[Standard Indicator ID Short]:[Standard Indicator ID Short]], I$4) &gt; 0, 1, 0)</f>
        <v>0</v>
      </c>
      <c r="J33" s="140">
        <f>IF(SUMIFS(Table1[[Result for year]:[Result for year]],Table1[[Project reference]:[Project reference]], $A33,Table1[[Standard Indicator ID Short]:[Standard Indicator ID Short]], J$4) &gt; 0, 1, 0)</f>
        <v>0</v>
      </c>
      <c r="K33" s="140">
        <f>IF(SUMIFS(Table1[[Result for year]:[Result for year]],Table1[[Project reference]:[Project reference]], $A33,Table1[[Standard Indicator ID Short]:[Standard Indicator ID Short]], K$4) &gt; 0, 1, 0)</f>
        <v>0</v>
      </c>
      <c r="L33" s="140">
        <f>IF(SUMIFS(Table1[[Result for year]:[Result for year]],Table1[[Project reference]:[Project reference]], $A33,Table1[[Standard Indicator ID Short]:[Standard Indicator ID Short]], L$4) &gt; 0, 1, 0)</f>
        <v>0</v>
      </c>
      <c r="M33" s="139">
        <f>IF(SUMIFS(Table1[[Result for year]:[Result for year]],Table1[[Project reference]:[Project reference]], $A33,Table1[[Standard Indicator ID Short]:[Standard Indicator ID Short]], M$4) &gt; 0, 1, 0)</f>
        <v>0</v>
      </c>
      <c r="N33" s="140">
        <f>IF(SUMIFS(Table1[[Result for year]:[Result for year]],Table1[[Project reference]:[Project reference]], $A33,Table1[[Standard Indicator ID Short]:[Standard Indicator ID Short]], N$4) &gt; 0, 1, 0)</f>
        <v>0</v>
      </c>
      <c r="O33" s="140">
        <f>IF(SUMIFS(Table1[[Result for year]:[Result for year]],Table1[[Project reference]:[Project reference]], $A33,Table1[[Standard Indicator ID Short]:[Standard Indicator ID Short]], O$4) &gt; 0, 1, 0)</f>
        <v>0</v>
      </c>
      <c r="P33" s="140">
        <f>IF(SUMIFS(Table1[[Result for year]:[Result for year]],Table1[[Project reference]:[Project reference]], $A33,Table1[[Standard Indicator ID Short]:[Standard Indicator ID Short]], P$4) &gt; 0, 1, 0)</f>
        <v>0</v>
      </c>
      <c r="Q33" s="140">
        <f>IF(SUMIFS(Table1[[Result for year]:[Result for year]],Table1[[Project reference]:[Project reference]], $A33,Table1[[Standard Indicator ID Short]:[Standard Indicator ID Short]], Q$4) &gt; 0, 1, 0)</f>
        <v>0</v>
      </c>
      <c r="R33" s="140">
        <f>IF(SUMIFS(Table1[[Result for year]:[Result for year]],Table1[[Project reference]:[Project reference]], $A33,Table1[[Standard Indicator ID Short]:[Standard Indicator ID Short]], R$4) &gt; 0, 1, 0)</f>
        <v>0</v>
      </c>
      <c r="S33" s="140">
        <f>IF(SUMIFS(Table1[[Result for year]:[Result for year]],Table1[[Project reference]:[Project reference]], $A33,Table1[[Standard Indicator ID Short]:[Standard Indicator ID Short]], S$4) &gt; 0, 1, 0)</f>
        <v>0</v>
      </c>
      <c r="T33" s="140">
        <f>IF(SUMIFS(Table1[[Result for year]:[Result for year]],Table1[[Project reference]:[Project reference]], $A33,Table1[[Standard Indicator ID Short]:[Standard Indicator ID Short]], T$4) &gt; 0, 1, 0)</f>
        <v>0</v>
      </c>
      <c r="U33" s="140">
        <f>IF(SUMIFS(Table1[[Result for year]:[Result for year]],Table1[[Project reference]:[Project reference]], $A33,Table1[[Standard Indicator ID Short]:[Standard Indicator ID Short]], U$4) &gt; 0, 1, 0)</f>
        <v>0</v>
      </c>
      <c r="V33" s="140">
        <f>IF(SUMIFS(Table1[[Result for year]:[Result for year]],Table1[[Project reference]:[Project reference]], $A33,Table1[[Standard Indicator ID Short]:[Standard Indicator ID Short]], V$4) &gt; 0, 1, 0)</f>
        <v>0</v>
      </c>
      <c r="W33" s="140">
        <f>IF(SUMIFS(Table1[[Result for year]:[Result for year]],Table1[[Project reference]:[Project reference]], $A33,Table1[[Standard Indicator ID Short]:[Standard Indicator ID Short]], W$4) &gt; 0, 1, 0)</f>
        <v>0</v>
      </c>
      <c r="X33" s="140">
        <f>IF(SUMIFS(Table1[[Result for year]:[Result for year]],Table1[[Project reference]:[Project reference]], $A33,Table1[[Standard Indicator ID Short]:[Standard Indicator ID Short]], X$4) &gt; 0, 1, 0)</f>
        <v>0</v>
      </c>
      <c r="Y33" s="139">
        <f>IF(SUMIFS(Table1[[Result for year]:[Result for year]],Table1[[Project reference]:[Project reference]], $A33,Table1[[Standard Indicator ID Short]:[Standard Indicator ID Short]], Y$4) &gt; 0, 1, 0)</f>
        <v>0</v>
      </c>
      <c r="Z33" s="140">
        <f>IF(SUMIFS(Table1[[Result for year]:[Result for year]],Table1[[Project reference]:[Project reference]], $A33,Table1[[Standard Indicator ID Short]:[Standard Indicator ID Short]], Z$4) &gt; 0, 1, 0)</f>
        <v>1</v>
      </c>
      <c r="AA33" s="140">
        <f>IF(SUMIFS(Table1[[Result for year]:[Result for year]],Table1[[Project reference]:[Project reference]], $A33,Table1[[Standard Indicator ID Short]:[Standard Indicator ID Short]], AA$4) &gt; 0, 1, 0)</f>
        <v>0</v>
      </c>
      <c r="AB33" s="140">
        <f>IF(SUMIFS(Table1[[Result for year]:[Result for year]],Table1[[Project reference]:[Project reference]], $A33,Table1[[Standard Indicator ID Short]:[Standard Indicator ID Short]], AB$4) &gt; 0, 1, 0)</f>
        <v>0</v>
      </c>
      <c r="AC33" s="140">
        <f>IF(SUMIFS(Table1[[Result for year]:[Result for year]],Table1[[Project reference]:[Project reference]], $A33,Table1[[Standard Indicator ID Short]:[Standard Indicator ID Short]], AC$4) &gt; 0, 1, 0)</f>
        <v>0</v>
      </c>
      <c r="AD33" s="140">
        <f>IF(SUMIFS(Table1[[Result for year]:[Result for year]],Table1[[Project reference]:[Project reference]], $A33,Table1[[Standard Indicator ID Short]:[Standard Indicator ID Short]], AD$4) &gt; 0, 1, 0)</f>
        <v>0</v>
      </c>
      <c r="AE33" s="140">
        <f>IF(SUMIFS(Table1[[Result for year]:[Result for year]],Table1[[Project reference]:[Project reference]], $A33,Table1[[Standard Indicator ID Short]:[Standard Indicator ID Short]], AE$4) &gt; 0, 1, 0)</f>
        <v>0</v>
      </c>
      <c r="AF33" s="140">
        <f>IF(SUMIFS(Table1[[Result for year]:[Result for year]],Table1[[Project reference]:[Project reference]], $A33,Table1[[Standard Indicator ID Short]:[Standard Indicator ID Short]], AF$4) &gt; 0, 1, 0)</f>
        <v>0</v>
      </c>
      <c r="AG33" s="140">
        <f>IF(SUMIFS(Table1[[Result for year]:[Result for year]],Table1[[Project reference]:[Project reference]], $A33,Table1[[Standard Indicator ID Short]:[Standard Indicator ID Short]], AG$4) &gt; 0, 1, 0)</f>
        <v>0</v>
      </c>
      <c r="AH33" s="140">
        <f>IF(SUMIFS(Table1[[Result for year]:[Result for year]],Table1[[Project reference]:[Project reference]], $A33,Table1[[Standard Indicator ID Short]:[Standard Indicator ID Short]], AH$4) &gt; 0, 1, 0)</f>
        <v>0</v>
      </c>
      <c r="AI33" s="140">
        <f>IF(SUMIFS(Table1[[Result for year]:[Result for year]],Table1[[Project reference]:[Project reference]], $A33,Table1[[Standard Indicator ID Short]:[Standard Indicator ID Short]], AI$4) &gt; 0, 1, 0)</f>
        <v>0</v>
      </c>
      <c r="AJ33" s="140">
        <f>IF(SUMIFS(Table1[[Result for year]:[Result for year]],Table1[[Project reference]:[Project reference]], $A33,Table1[[Standard Indicator ID Short]:[Standard Indicator ID Short]], AJ$4) &gt; 0, 1, 0)</f>
        <v>0</v>
      </c>
      <c r="AK33" s="140">
        <f>IF(SUMIFS(Table1[[Result for year]:[Result for year]],Table1[[Project reference]:[Project reference]], $A33,Table1[[Standard Indicator ID Short]:[Standard Indicator ID Short]], AK$4) &gt; 0, 1, 0)</f>
        <v>0</v>
      </c>
      <c r="AL33" s="140">
        <f>IF(SUMIFS(Table1[[Result for year]:[Result for year]],Table1[[Project reference]:[Project reference]], $A33,Table1[[Standard Indicator ID Short]:[Standard Indicator ID Short]], AL$4) &gt; 0, 1, 0)</f>
        <v>0</v>
      </c>
      <c r="AM33" s="140">
        <f>IF(SUMIFS(Table1[[Result for year]:[Result for year]],Table1[[Project reference]:[Project reference]], $A33,Table1[[Standard Indicator ID Short]:[Standard Indicator ID Short]], AM$4) &gt; 0, 1, 0)</f>
        <v>0</v>
      </c>
      <c r="AN33" s="140">
        <f>IF(SUMIFS(Table1[[Result for year]:[Result for year]],Table1[[Project reference]:[Project reference]], $A33,Table1[[Standard Indicator ID Short]:[Standard Indicator ID Short]], AN$4) &gt; 0, 1, 0)</f>
        <v>0</v>
      </c>
      <c r="AO33" s="140">
        <f>IF(SUMIFS(Table1[[Result for year]:[Result for year]],Table1[[Project reference]:[Project reference]], $A33,Table1[[Standard Indicator ID Short]:[Standard Indicator ID Short]], AO$4) &gt; 0, 1, 0)</f>
        <v>0</v>
      </c>
      <c r="AP33" s="140">
        <f>IF(SUMIFS(Table1[[Result for year]:[Result for year]],Table1[[Project reference]:[Project reference]], $A33,Table1[[Standard Indicator ID Short]:[Standard Indicator ID Short]], AP$4) &gt; 0, 1, 0)</f>
        <v>0</v>
      </c>
      <c r="AQ33" s="140">
        <f>IF(SUMIFS(Table1[[Result for year]:[Result for year]],Table1[[Project reference]:[Project reference]], $A33,Table1[[Standard Indicator ID Short]:[Standard Indicator ID Short]], AQ$4) &gt; 0, 1, 0)</f>
        <v>0</v>
      </c>
      <c r="AR33" s="139">
        <f>IF(SUMIFS(Table1[[Result for year]:[Result for year]],Table1[[Project reference]:[Project reference]], $A33,Table1[[Standard Indicator ID Short]:[Standard Indicator ID Short]], AR$4) &gt; 0, 1, 0)</f>
        <v>0</v>
      </c>
      <c r="AS33" s="140">
        <f>IF(SUMIFS(Table1[[Result for year]:[Result for year]],Table1[[Project reference]:[Project reference]], $A33,Table1[[Standard Indicator ID Short]:[Standard Indicator ID Short]], AS$4) &gt; 0, 1, 0)</f>
        <v>0</v>
      </c>
      <c r="AT33" s="140">
        <f>IF(SUMIFS(Table1[[Result for year]:[Result for year]],Table1[[Project reference]:[Project reference]], $A33,Table1[[Standard Indicator ID Short]:[Standard Indicator ID Short]], AT$4) &gt; 0, 1, 0)</f>
        <v>0</v>
      </c>
      <c r="AU33" s="140">
        <f>IF(SUMIFS(Table1[[Result for year]:[Result for year]],Table1[[Project reference]:[Project reference]], $A33,Table1[[Standard Indicator ID Short]:[Standard Indicator ID Short]], AU$4) &gt; 0, 1, 0)</f>
        <v>0</v>
      </c>
      <c r="AV33" s="140">
        <f>IF(SUMIFS(Table1[[Result for year]:[Result for year]],Table1[[Project reference]:[Project reference]], $A33,Table1[[Standard Indicator ID Short]:[Standard Indicator ID Short]], AV$4) &gt; 0, 1, 0)</f>
        <v>0</v>
      </c>
      <c r="AW33" s="140">
        <f>IF(SUMIFS(Table1[[Result for year]:[Result for year]],Table1[[Project reference]:[Project reference]], $A33,Table1[[Standard Indicator ID Short]:[Standard Indicator ID Short]], AW$4) &gt; 0, 1, 0)</f>
        <v>0</v>
      </c>
      <c r="AX33" s="140">
        <f>IF(SUMIFS(Table1[[Result for year]:[Result for year]],Table1[[Project reference]:[Project reference]], $A33,Table1[[Standard Indicator ID Short]:[Standard Indicator ID Short]], AX$4) &gt; 0, 1, 0)</f>
        <v>0</v>
      </c>
      <c r="AY33" s="140">
        <f>IF(SUMIFS(Table1[[Result for year]:[Result for year]],Table1[[Project reference]:[Project reference]], $A33,Table1[[Standard Indicator ID Short]:[Standard Indicator ID Short]], AY$4) &gt; 0, 1, 0)</f>
        <v>0</v>
      </c>
      <c r="AZ33" s="140">
        <f>IF(SUMIFS(Table1[[Result for year]:[Result for year]],Table1[[Project reference]:[Project reference]], $A33,Table1[[Standard Indicator ID Short]:[Standard Indicator ID Short]], AZ$4) &gt; 0, 1, 0)</f>
        <v>0</v>
      </c>
      <c r="BA33" s="140">
        <f>IF(SUMIFS(Table1[[Result for year]:[Result for year]],Table1[[Project reference]:[Project reference]], $A33,Table1[[Standard Indicator ID Short]:[Standard Indicator ID Short]], BA$4) &gt; 0, 1, 0)</f>
        <v>0</v>
      </c>
      <c r="BB33" s="140">
        <f>IF(SUMIFS(Table1[[Result for year]:[Result for year]],Table1[[Project reference]:[Project reference]], $A33,Table1[[Standard Indicator ID Short]:[Standard Indicator ID Short]], BB$4) &gt; 0, 1, 0)</f>
        <v>0</v>
      </c>
      <c r="BC33" s="140">
        <f>IF(SUMIFS(Table1[[Result for year]:[Result for year]],Table1[[Project reference]:[Project reference]], $A33,Table1[[Standard Indicator ID Short]:[Standard Indicator ID Short]], BC$4) &gt; 0, 1, 0)</f>
        <v>1</v>
      </c>
      <c r="BD33" s="140">
        <f>IF(SUMIFS(Table1[[Result for year]:[Result for year]],Table1[[Project reference]:[Project reference]], $A33,Table1[[Standard Indicator ID Short]:[Standard Indicator ID Short]], BD$4) &gt; 0, 1, 0)</f>
        <v>0</v>
      </c>
      <c r="BE33" s="140">
        <f>IF(SUMIFS(Table1[[Result for year]:[Result for year]],Table1[[Project reference]:[Project reference]], $A33,Table1[[Standard Indicator ID Short]:[Standard Indicator ID Short]], BE$4) &gt; 0, 1, 0)</f>
        <v>0</v>
      </c>
      <c r="BF33" s="140">
        <f>IF(SUMIFS(Table1[[Result for year]:[Result for year]],Table1[[Project reference]:[Project reference]], $A33,Table1[[Standard Indicator ID Short]:[Standard Indicator ID Short]], BF$4) &gt; 0, 1, 0)</f>
        <v>0</v>
      </c>
      <c r="BG33" s="141">
        <f>IF(SUMIFS(Table1[[Result for year]:[Result for year]],Table1[[Project reference]:[Project reference]], $A33,Table1[[Standard Indicator ID Short]:[Standard Indicator ID Short]], BG$4) &gt; 0, 1, 0)</f>
        <v>0</v>
      </c>
      <c r="BH33" s="139">
        <f>IF(SUMIFS(Table1[[Result for year]:[Result for year]],Table1[[Project reference]:[Project reference]], $A33,Table1[[Standard Indicator ID Short]:[Standard Indicator ID Short]], BH$4) &gt; 0, 1, 0)</f>
        <v>0</v>
      </c>
      <c r="BI33" s="140">
        <f>IF(SUMIFS(Table1[[Result for year]:[Result for year]],Table1[[Project reference]:[Project reference]], $A33,Table1[[Standard Indicator ID Short]:[Standard Indicator ID Short]], BI$4) &gt; 0, 1, 0)</f>
        <v>0</v>
      </c>
      <c r="BJ33" s="141">
        <f>IF(SUMIFS(Table1[[Result for year]:[Result for year]],Table1[[Project reference]:[Project reference]], $A33,Table1[[Standard Indicator ID Short]:[Standard Indicator ID Short]], BJ$4) &gt; 0, 1, 0)</f>
        <v>0</v>
      </c>
      <c r="BK33" s="144"/>
      <c r="BL33" s="79"/>
      <c r="BM33" s="149">
        <f t="shared" si="0"/>
        <v>3</v>
      </c>
      <c r="BN33" s="79"/>
      <c r="BO33" s="78"/>
    </row>
    <row r="34" spans="1:67" ht="14.25" customHeight="1" x14ac:dyDescent="0.25">
      <c r="A34" s="146"/>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8"/>
    </row>
    <row r="35" spans="1:67" s="156" customFormat="1" ht="18.600000000000001" customHeight="1" x14ac:dyDescent="0.25">
      <c r="A35" s="151"/>
      <c r="B35" s="150" t="s">
        <v>431</v>
      </c>
      <c r="C35" s="152">
        <f>COUNTIF(C5:C33, 1)</f>
        <v>9</v>
      </c>
      <c r="D35" s="152">
        <f t="shared" ref="D35:BJ35" si="1">COUNTIF(D5:D33, 1)</f>
        <v>2</v>
      </c>
      <c r="E35" s="152">
        <f t="shared" si="1"/>
        <v>9</v>
      </c>
      <c r="F35" s="152">
        <f t="shared" si="1"/>
        <v>1</v>
      </c>
      <c r="G35" s="152">
        <f t="shared" si="1"/>
        <v>0</v>
      </c>
      <c r="H35" s="152">
        <f t="shared" si="1"/>
        <v>0</v>
      </c>
      <c r="I35" s="152">
        <f t="shared" si="1"/>
        <v>3</v>
      </c>
      <c r="J35" s="152">
        <f t="shared" si="1"/>
        <v>0</v>
      </c>
      <c r="K35" s="152">
        <f t="shared" si="1"/>
        <v>0</v>
      </c>
      <c r="L35" s="152">
        <f t="shared" si="1"/>
        <v>0</v>
      </c>
      <c r="M35" s="152">
        <f t="shared" si="1"/>
        <v>2</v>
      </c>
      <c r="N35" s="152">
        <f t="shared" si="1"/>
        <v>0</v>
      </c>
      <c r="O35" s="152">
        <f t="shared" si="1"/>
        <v>0</v>
      </c>
      <c r="P35" s="152">
        <f t="shared" si="1"/>
        <v>0</v>
      </c>
      <c r="Q35" s="152">
        <f t="shared" si="1"/>
        <v>3</v>
      </c>
      <c r="R35" s="152">
        <f t="shared" si="1"/>
        <v>0</v>
      </c>
      <c r="S35" s="152">
        <f t="shared" si="1"/>
        <v>0</v>
      </c>
      <c r="T35" s="152">
        <f t="shared" si="1"/>
        <v>0</v>
      </c>
      <c r="U35" s="152">
        <f t="shared" si="1"/>
        <v>0</v>
      </c>
      <c r="V35" s="152">
        <f t="shared" si="1"/>
        <v>0</v>
      </c>
      <c r="W35" s="152">
        <f t="shared" si="1"/>
        <v>1</v>
      </c>
      <c r="X35" s="152">
        <f t="shared" si="1"/>
        <v>0</v>
      </c>
      <c r="Y35" s="152">
        <f t="shared" si="1"/>
        <v>3</v>
      </c>
      <c r="Z35" s="152">
        <f t="shared" si="1"/>
        <v>4</v>
      </c>
      <c r="AA35" s="152">
        <f t="shared" si="1"/>
        <v>1</v>
      </c>
      <c r="AB35" s="152">
        <f t="shared" si="1"/>
        <v>0</v>
      </c>
      <c r="AC35" s="152">
        <f t="shared" si="1"/>
        <v>4</v>
      </c>
      <c r="AD35" s="152">
        <f t="shared" si="1"/>
        <v>0</v>
      </c>
      <c r="AE35" s="152">
        <f t="shared" si="1"/>
        <v>0</v>
      </c>
      <c r="AF35" s="152">
        <f t="shared" si="1"/>
        <v>1</v>
      </c>
      <c r="AG35" s="152">
        <f t="shared" si="1"/>
        <v>1</v>
      </c>
      <c r="AH35" s="152">
        <f t="shared" si="1"/>
        <v>0</v>
      </c>
      <c r="AI35" s="152">
        <f t="shared" si="1"/>
        <v>0</v>
      </c>
      <c r="AJ35" s="152">
        <f t="shared" si="1"/>
        <v>6</v>
      </c>
      <c r="AK35" s="152">
        <f t="shared" si="1"/>
        <v>2</v>
      </c>
      <c r="AL35" s="152">
        <f t="shared" si="1"/>
        <v>0</v>
      </c>
      <c r="AM35" s="152">
        <f t="shared" si="1"/>
        <v>6</v>
      </c>
      <c r="AN35" s="152">
        <f t="shared" si="1"/>
        <v>0</v>
      </c>
      <c r="AO35" s="152">
        <f t="shared" si="1"/>
        <v>0</v>
      </c>
      <c r="AP35" s="152">
        <f t="shared" si="1"/>
        <v>1</v>
      </c>
      <c r="AQ35" s="152">
        <f t="shared" si="1"/>
        <v>3</v>
      </c>
      <c r="AR35" s="152">
        <f t="shared" si="1"/>
        <v>0</v>
      </c>
      <c r="AS35" s="152">
        <f t="shared" si="1"/>
        <v>0</v>
      </c>
      <c r="AT35" s="152">
        <f t="shared" si="1"/>
        <v>0</v>
      </c>
      <c r="AU35" s="152">
        <f t="shared" si="1"/>
        <v>0</v>
      </c>
      <c r="AV35" s="152">
        <f t="shared" si="1"/>
        <v>0</v>
      </c>
      <c r="AW35" s="152">
        <f t="shared" si="1"/>
        <v>0</v>
      </c>
      <c r="AX35" s="152">
        <f t="shared" si="1"/>
        <v>0</v>
      </c>
      <c r="AY35" s="152">
        <f t="shared" si="1"/>
        <v>0</v>
      </c>
      <c r="AZ35" s="152">
        <f t="shared" si="1"/>
        <v>0</v>
      </c>
      <c r="BA35" s="152">
        <f t="shared" si="1"/>
        <v>0</v>
      </c>
      <c r="BB35" s="152">
        <f t="shared" si="1"/>
        <v>0</v>
      </c>
      <c r="BC35" s="152">
        <f t="shared" si="1"/>
        <v>2</v>
      </c>
      <c r="BD35" s="152">
        <f t="shared" si="1"/>
        <v>0</v>
      </c>
      <c r="BE35" s="152">
        <f t="shared" si="1"/>
        <v>0</v>
      </c>
      <c r="BF35" s="152">
        <f t="shared" si="1"/>
        <v>0</v>
      </c>
      <c r="BG35" s="152">
        <f t="shared" si="1"/>
        <v>0</v>
      </c>
      <c r="BH35" s="152">
        <f t="shared" si="1"/>
        <v>0</v>
      </c>
      <c r="BI35" s="152">
        <f t="shared" si="1"/>
        <v>0</v>
      </c>
      <c r="BJ35" s="153">
        <f t="shared" si="1"/>
        <v>0</v>
      </c>
      <c r="BK35" s="154"/>
      <c r="BL35" s="154"/>
      <c r="BM35" s="154"/>
      <c r="BN35" s="154"/>
      <c r="BO35" s="155"/>
    </row>
    <row r="36" spans="1:67" ht="14.25" customHeight="1" x14ac:dyDescent="0.25">
      <c r="A36" s="146"/>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8"/>
    </row>
    <row r="37" spans="1:67" ht="14.25" customHeight="1" x14ac:dyDescent="0.25">
      <c r="A37" s="146"/>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8"/>
    </row>
    <row r="38" spans="1:67" ht="14.25" customHeight="1" x14ac:dyDescent="0.25">
      <c r="A38" s="147"/>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37"/>
    </row>
  </sheetData>
  <mergeCells count="8">
    <mergeCell ref="A1:A4"/>
    <mergeCell ref="B1:B4"/>
    <mergeCell ref="BH1:BJ3"/>
    <mergeCell ref="BL1:BN4"/>
    <mergeCell ref="C1:L3"/>
    <mergeCell ref="M1:X3"/>
    <mergeCell ref="Y1:AQ3"/>
    <mergeCell ref="AR1:BG3"/>
  </mergeCells>
  <conditionalFormatting sqref="C5:BK33">
    <cfRule type="colorScale" priority="3">
      <colorScale>
        <cfvo type="num" val="0"/>
        <cfvo type="num" val="1"/>
        <color rgb="FFDAD5D4"/>
        <color rgb="FF027977"/>
      </colorScale>
    </cfRule>
  </conditionalFormatting>
  <conditionalFormatting sqref="C35:BK35">
    <cfRule type="colorScale" priority="2">
      <colorScale>
        <cfvo type="min"/>
        <cfvo type="max"/>
        <color rgb="FFFCFCFF"/>
        <color rgb="FF027977"/>
      </colorScale>
    </cfRule>
  </conditionalFormatting>
  <conditionalFormatting sqref="BM5:BM33">
    <cfRule type="colorScale" priority="1">
      <colorScale>
        <cfvo type="min"/>
        <cfvo type="max"/>
        <color rgb="FFFCFCFF"/>
        <color rgb="FF027977"/>
      </colorScale>
    </cfRule>
  </conditionalFormatting>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A1B2-DA84-4DC7-A7D0-4A3A11C67BAB}">
  <sheetPr>
    <tabColor rgb="FF3B3433"/>
  </sheetPr>
  <dimension ref="A2:Q11"/>
  <sheetViews>
    <sheetView showRuler="0" zoomScaleNormal="100" zoomScaleSheetLayoutView="400" zoomScalePageLayoutView="90" workbookViewId="0">
      <selection activeCell="F9" sqref="F9"/>
    </sheetView>
  </sheetViews>
  <sheetFormatPr defaultColWidth="9.28515625" defaultRowHeight="14.25" customHeight="1" x14ac:dyDescent="0.2"/>
  <cols>
    <col min="1" max="1" width="16.28515625" style="1" customWidth="1"/>
    <col min="2" max="16384" width="9.28515625" style="1"/>
  </cols>
  <sheetData>
    <row r="2" spans="1:17" ht="25.5" x14ac:dyDescent="0.2">
      <c r="A2" s="175" t="s">
        <v>432</v>
      </c>
      <c r="B2" s="176" t="s">
        <v>215</v>
      </c>
      <c r="C2" s="177" t="str">
        <f>VLOOKUP(B2,List!A2:B65,2,FALSE)</f>
        <v>Number of best practice guides and knowledge products published and endorsed</v>
      </c>
      <c r="D2" s="178"/>
      <c r="E2" s="178"/>
      <c r="F2" s="178"/>
      <c r="G2" s="178"/>
      <c r="H2" s="178"/>
      <c r="I2" s="178"/>
      <c r="J2" s="178"/>
      <c r="K2" s="178"/>
      <c r="L2" s="178"/>
      <c r="M2" s="178"/>
      <c r="N2" s="178"/>
      <c r="O2" s="178"/>
      <c r="P2" s="178"/>
      <c r="Q2" s="179"/>
    </row>
    <row r="5" spans="1:17" ht="27.4" customHeight="1" x14ac:dyDescent="0.2">
      <c r="B5" s="26" t="s">
        <v>433</v>
      </c>
      <c r="C5" s="15">
        <v>2021</v>
      </c>
      <c r="D5" s="15">
        <v>2022</v>
      </c>
      <c r="E5" s="15">
        <v>2023</v>
      </c>
      <c r="F5" s="15">
        <v>2024</v>
      </c>
      <c r="G5" s="25" t="s">
        <v>434</v>
      </c>
    </row>
    <row r="6" spans="1:17" ht="14.25" customHeight="1" x14ac:dyDescent="0.2">
      <c r="A6" s="5"/>
      <c r="B6" s="17">
        <v>7</v>
      </c>
      <c r="C6" s="20">
        <f>SUMIFS(Table3[Result],Table3[Round],B6,Table3[SI],$B$2,Table3[Year],C$5)</f>
        <v>0</v>
      </c>
      <c r="D6" s="18">
        <f>SUMIFS(Table3[Result],Table3[Round],B6,Table3[SI],$B$2,Table3[Year],D$5)</f>
        <v>0</v>
      </c>
      <c r="E6" s="18">
        <f>SUMIFS(Table3[Result],Table3[Round],B6,Table3[SI],$B$2,Table3[Year],E$5)</f>
        <v>0</v>
      </c>
      <c r="F6" s="21">
        <f>SUMIFS(Table3[Result],Table3[Round],B6,Table3[SI],$B$2,Table3[Year],F$5)</f>
        <v>0</v>
      </c>
      <c r="G6" s="19">
        <f>SUMIFS(Table3[Result],Table3[Round],B6,Table3[SI],$B$2)</f>
        <v>0</v>
      </c>
    </row>
    <row r="7" spans="1:17" ht="14.25" customHeight="1" x14ac:dyDescent="0.2">
      <c r="A7" s="5"/>
      <c r="B7" s="14">
        <v>8</v>
      </c>
      <c r="C7" s="10">
        <f>SUMIFS(Table3[Result],Table3[Round],B7,Table3[SI],$B$2,Table3[Year],C$5)</f>
        <v>0</v>
      </c>
      <c r="D7" s="11">
        <f>SUMIFS(Table3[Result],Table3[Round],B7,Table3[SI],$B$2,Table3[Year],D$5)</f>
        <v>3</v>
      </c>
      <c r="E7" s="11">
        <f>SUMIFS(Table3[Result],Table3[Round],B7,Table3[SI],$B$2,Table3[Year],E$5)</f>
        <v>1</v>
      </c>
      <c r="F7" s="12">
        <f>SUMIFS(Table3[Result],Table3[Round],B7,Table3[SI],$B$2,Table3[Year],F$5)</f>
        <v>0</v>
      </c>
      <c r="G7" s="13">
        <f>SUMIFS(Table3[Result],Table3[Round],B7,Table3[SI],$B$2)</f>
        <v>4</v>
      </c>
    </row>
    <row r="8" spans="1:17" ht="14.25" customHeight="1" x14ac:dyDescent="0.2">
      <c r="A8" s="5"/>
      <c r="B8" s="14">
        <v>9</v>
      </c>
      <c r="C8" s="10">
        <f>SUMIFS(Table3[Result],Table3[Round],B8,Table3[SI],$B$2,Table3[Year],C$5)</f>
        <v>0</v>
      </c>
      <c r="D8" s="11">
        <f>SUMIFS(Table3[Result],Table3[Round],B8,Table3[SI],$B$2,Table3[Year],D$5)</f>
        <v>7</v>
      </c>
      <c r="E8" s="11">
        <f>SUMIFS(Table3[Result],Table3[Round],B8,Table3[SI],$B$2,Table3[Year],E$5)</f>
        <v>27</v>
      </c>
      <c r="F8" s="12">
        <f>SUMIFS(Table3[Result],Table3[Round],B8,Table3[SI],$B$2,Table3[Year],F$5)</f>
        <v>3</v>
      </c>
      <c r="G8" s="13">
        <f>SUMIFS(Table3[Result],Table3[Round],B8,Table3[SI],$B$2)</f>
        <v>37</v>
      </c>
    </row>
    <row r="9" spans="1:17" ht="14.25" customHeight="1" x14ac:dyDescent="0.2">
      <c r="A9" s="5"/>
      <c r="B9" s="14">
        <v>10</v>
      </c>
      <c r="C9" s="10">
        <f>SUMIFS(Table3[Result],Table3[Round],B9,Table3[SI],$B$2,Table3[Year],C$5)</f>
        <v>0</v>
      </c>
      <c r="D9" s="11">
        <f>SUMIFS(Table3[Result],Table3[Round],B9,Table3[SI],$B$2,Table3[Year],D$5)</f>
        <v>0</v>
      </c>
      <c r="E9" s="11">
        <f>SUMIFS(Table3[Result],Table3[Round],B9,Table3[SI],$B$2,Table3[Year],E$5)</f>
        <v>10</v>
      </c>
      <c r="F9" s="12">
        <f>SUMIFS(Table3[Result],Table3[Round],B9,Table3[SI],$B$2,Table3[Year],F$5)</f>
        <v>15</v>
      </c>
      <c r="G9" s="13">
        <f>SUMIFS(Table3[Result],Table3[Round],B9,Table3[SI],$B$2)</f>
        <v>25</v>
      </c>
    </row>
    <row r="10" spans="1:17" ht="14.25" customHeight="1" x14ac:dyDescent="0.2">
      <c r="A10" s="5"/>
      <c r="B10" s="14">
        <v>11</v>
      </c>
      <c r="C10" s="10">
        <f>SUMIFS(Table3[Result],Table3[Round],B10,Table3[SI],$B$2,Table3[Year],C$5)</f>
        <v>0</v>
      </c>
      <c r="D10" s="11">
        <f>SUMIFS(Table3[Result],Table3[Round],B10,Table3[SI],$B$2,Table3[Year],D$5)</f>
        <v>0</v>
      </c>
      <c r="E10" s="11">
        <f>SUMIFS(Table3[Result],Table3[Round],B10,Table3[SI],$B$2,Table3[Year],E$5)</f>
        <v>0</v>
      </c>
      <c r="F10" s="12">
        <f>SUMIFS(Table3[Result],Table3[Round],B10,Table3[SI],$B$2,Table3[Year],F$5)</f>
        <v>0</v>
      </c>
      <c r="G10" s="13">
        <f>SUMIFS(Table3[Result],Table3[Round],B10,Table3[SI],$B$2)</f>
        <v>0</v>
      </c>
    </row>
    <row r="11" spans="1:17" ht="14.25" customHeight="1" x14ac:dyDescent="0.2">
      <c r="B11" s="24" t="s">
        <v>435</v>
      </c>
      <c r="C11" s="22">
        <f>SUMIFS(Table3[Result],Table3[SI],$B$2,Table3[Year],C$5)</f>
        <v>0</v>
      </c>
      <c r="D11" s="23">
        <f>SUMIFS(Table3[Result],Table3[SI],$B$2,Table3[Year],D$5)</f>
        <v>10</v>
      </c>
      <c r="E11" s="23">
        <f>SUMIFS(Table3[Result],Table3[SI],$B$2,Table3[Year],E$5)</f>
        <v>38</v>
      </c>
      <c r="F11" s="23">
        <f>SUMIFS(Table3[Result],Table3[SI],$B$2,Table3[Year],F$5)</f>
        <v>18</v>
      </c>
      <c r="G11" s="16">
        <f>SUMIF(Table3[SI],$B$2,Table3[Result])</f>
        <v>66</v>
      </c>
    </row>
  </sheetData>
  <conditionalFormatting sqref="C6:F10">
    <cfRule type="colorScale" priority="2">
      <colorScale>
        <cfvo type="min"/>
        <cfvo type="max"/>
        <color rgb="FFFCFCFF"/>
        <color rgb="FF027977"/>
      </colorScale>
    </cfRule>
  </conditionalFormatting>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BB6D8DCE-E212-4976-B493-3994178A00D3}">
          <x14:formula1>
            <xm:f>List!$A$2:$A$61</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49F97-BAF1-4948-A47D-FA4BF2FE1522}">
  <sheetPr>
    <tabColor rgb="FF3B3433"/>
  </sheetPr>
  <dimension ref="A1:D28"/>
  <sheetViews>
    <sheetView showRuler="0" zoomScaleNormal="100" zoomScaleSheetLayoutView="400" zoomScalePageLayoutView="90" workbookViewId="0">
      <selection activeCell="H11" sqref="H11"/>
    </sheetView>
  </sheetViews>
  <sheetFormatPr defaultColWidth="9.28515625" defaultRowHeight="14.25" customHeight="1" x14ac:dyDescent="0.2"/>
  <cols>
    <col min="1" max="1" width="9.28515625" style="1"/>
    <col min="2" max="2" width="15.5703125" style="1" bestFit="1" customWidth="1"/>
    <col min="3" max="3" width="102.7109375" style="1" bestFit="1" customWidth="1"/>
    <col min="4" max="4" width="10.28515625" style="1" customWidth="1"/>
    <col min="5" max="16384" width="9.28515625" style="1"/>
  </cols>
  <sheetData>
    <row r="1" spans="1:4" ht="60" x14ac:dyDescent="0.2">
      <c r="A1" s="180" t="s">
        <v>143</v>
      </c>
      <c r="B1" s="180" t="s">
        <v>436</v>
      </c>
      <c r="C1" s="181" t="s">
        <v>437</v>
      </c>
      <c r="D1" s="182" t="s">
        <v>438</v>
      </c>
    </row>
    <row r="2" spans="1:4" ht="14.25" customHeight="1" x14ac:dyDescent="0.2">
      <c r="A2" s="376" t="s">
        <v>163</v>
      </c>
      <c r="B2" s="183" t="s">
        <v>174</v>
      </c>
      <c r="C2" s="169" t="s">
        <v>175</v>
      </c>
      <c r="D2" s="185">
        <v>0</v>
      </c>
    </row>
    <row r="3" spans="1:4" ht="14.25" customHeight="1" x14ac:dyDescent="0.2">
      <c r="A3" s="377"/>
      <c r="B3" s="183" t="s">
        <v>177</v>
      </c>
      <c r="C3" s="170" t="s">
        <v>178</v>
      </c>
      <c r="D3" s="186">
        <v>0</v>
      </c>
    </row>
    <row r="4" spans="1:4" ht="14.25" customHeight="1" x14ac:dyDescent="0.2">
      <c r="A4" s="377"/>
      <c r="B4" s="183" t="s">
        <v>181</v>
      </c>
      <c r="C4" s="170" t="s">
        <v>182</v>
      </c>
      <c r="D4" s="186">
        <v>0</v>
      </c>
    </row>
    <row r="5" spans="1:4" ht="14.25" customHeight="1" x14ac:dyDescent="0.2">
      <c r="A5" s="377"/>
      <c r="B5" s="183" t="s">
        <v>183</v>
      </c>
      <c r="C5" s="170" t="s">
        <v>184</v>
      </c>
      <c r="D5" s="186">
        <v>0</v>
      </c>
    </row>
    <row r="6" spans="1:4" ht="14.25" customHeight="1" x14ac:dyDescent="0.2">
      <c r="A6" s="378"/>
      <c r="B6" s="184" t="s">
        <v>185</v>
      </c>
      <c r="C6" s="171" t="s">
        <v>186</v>
      </c>
      <c r="D6" s="187">
        <v>0</v>
      </c>
    </row>
    <row r="7" spans="1:4" ht="14.25" customHeight="1" x14ac:dyDescent="0.2">
      <c r="A7" s="379" t="s">
        <v>187</v>
      </c>
      <c r="B7" s="96" t="s">
        <v>199</v>
      </c>
      <c r="C7" s="95" t="s">
        <v>200</v>
      </c>
      <c r="D7" s="95">
        <v>0</v>
      </c>
    </row>
    <row r="8" spans="1:4" ht="14.25" customHeight="1" x14ac:dyDescent="0.2">
      <c r="A8" s="380"/>
      <c r="B8" s="96" t="s">
        <v>201</v>
      </c>
      <c r="C8" s="97" t="s">
        <v>202</v>
      </c>
      <c r="D8" s="97">
        <v>0</v>
      </c>
    </row>
    <row r="9" spans="1:4" ht="14.25" customHeight="1" x14ac:dyDescent="0.2">
      <c r="A9" s="380"/>
      <c r="B9" s="96" t="s">
        <v>203</v>
      </c>
      <c r="C9" s="97" t="s">
        <v>204</v>
      </c>
      <c r="D9" s="97">
        <v>0</v>
      </c>
    </row>
    <row r="10" spans="1:4" ht="14.25" customHeight="1" x14ac:dyDescent="0.2">
      <c r="A10" s="380"/>
      <c r="B10" s="96" t="s">
        <v>205</v>
      </c>
      <c r="C10" s="97" t="s">
        <v>206</v>
      </c>
      <c r="D10" s="97">
        <v>0</v>
      </c>
    </row>
    <row r="11" spans="1:4" ht="14.25" customHeight="1" x14ac:dyDescent="0.2">
      <c r="A11" s="380"/>
      <c r="B11" s="96" t="s">
        <v>207</v>
      </c>
      <c r="C11" s="97" t="s">
        <v>208</v>
      </c>
      <c r="D11" s="97">
        <v>0</v>
      </c>
    </row>
    <row r="12" spans="1:4" ht="14.25" customHeight="1" x14ac:dyDescent="0.2">
      <c r="A12" s="381"/>
      <c r="B12" s="130" t="s">
        <v>212</v>
      </c>
      <c r="C12" s="98" t="s">
        <v>213</v>
      </c>
      <c r="D12" s="98">
        <v>0</v>
      </c>
    </row>
    <row r="13" spans="1:4" ht="14.25" customHeight="1" x14ac:dyDescent="0.2">
      <c r="A13" s="382" t="s">
        <v>214</v>
      </c>
      <c r="B13" s="188" t="s">
        <v>223</v>
      </c>
      <c r="C13" s="189" t="s">
        <v>224</v>
      </c>
      <c r="D13" s="189">
        <v>0</v>
      </c>
    </row>
    <row r="14" spans="1:4" ht="14.25" customHeight="1" x14ac:dyDescent="0.2">
      <c r="A14" s="383"/>
      <c r="B14" s="190" t="s">
        <v>225</v>
      </c>
      <c r="C14" s="191" t="s">
        <v>226</v>
      </c>
      <c r="D14" s="191">
        <v>0</v>
      </c>
    </row>
    <row r="15" spans="1:4" ht="14.25" customHeight="1" x14ac:dyDescent="0.2">
      <c r="A15" s="383"/>
      <c r="B15" s="190" t="s">
        <v>234</v>
      </c>
      <c r="C15" s="191" t="s">
        <v>235</v>
      </c>
      <c r="D15" s="191">
        <v>0</v>
      </c>
    </row>
    <row r="16" spans="1:4" ht="14.25" customHeight="1" x14ac:dyDescent="0.2">
      <c r="A16" s="383"/>
      <c r="B16" s="190" t="s">
        <v>236</v>
      </c>
      <c r="C16" s="191" t="s">
        <v>237</v>
      </c>
      <c r="D16" s="191">
        <v>0</v>
      </c>
    </row>
    <row r="17" spans="1:4" ht="14.25" customHeight="1" x14ac:dyDescent="0.2">
      <c r="A17" s="384"/>
      <c r="B17" s="192" t="s">
        <v>243</v>
      </c>
      <c r="C17" s="193" t="s">
        <v>244</v>
      </c>
      <c r="D17" s="193">
        <v>0</v>
      </c>
    </row>
    <row r="18" spans="1:4" ht="14.25" customHeight="1" x14ac:dyDescent="0.2">
      <c r="A18" s="385" t="s">
        <v>256</v>
      </c>
      <c r="B18" s="194" t="s">
        <v>265</v>
      </c>
      <c r="C18" s="195" t="s">
        <v>266</v>
      </c>
      <c r="D18" s="195">
        <v>0</v>
      </c>
    </row>
    <row r="19" spans="1:4" ht="14.25" customHeight="1" x14ac:dyDescent="0.2">
      <c r="A19" s="386"/>
      <c r="B19" s="194" t="s">
        <v>267</v>
      </c>
      <c r="C19" s="196" t="s">
        <v>268</v>
      </c>
      <c r="D19" s="196">
        <v>0</v>
      </c>
    </row>
    <row r="20" spans="1:4" ht="14.25" customHeight="1" x14ac:dyDescent="0.2">
      <c r="A20" s="386"/>
      <c r="B20" s="194" t="s">
        <v>269</v>
      </c>
      <c r="C20" s="196" t="s">
        <v>270</v>
      </c>
      <c r="D20" s="196">
        <v>0</v>
      </c>
    </row>
    <row r="21" spans="1:4" ht="14.25" customHeight="1" x14ac:dyDescent="0.2">
      <c r="A21" s="386"/>
      <c r="B21" s="194" t="s">
        <v>271</v>
      </c>
      <c r="C21" s="196" t="s">
        <v>272</v>
      </c>
      <c r="D21" s="196">
        <v>0</v>
      </c>
    </row>
    <row r="22" spans="1:4" ht="14.25" customHeight="1" x14ac:dyDescent="0.2">
      <c r="A22" s="386"/>
      <c r="B22" s="194" t="s">
        <v>273</v>
      </c>
      <c r="C22" s="196" t="s">
        <v>274</v>
      </c>
      <c r="D22" s="196">
        <v>0</v>
      </c>
    </row>
    <row r="23" spans="1:4" ht="14.25" customHeight="1" x14ac:dyDescent="0.2">
      <c r="A23" s="386"/>
      <c r="B23" s="194" t="s">
        <v>275</v>
      </c>
      <c r="C23" s="196" t="s">
        <v>276</v>
      </c>
      <c r="D23" s="196">
        <v>0</v>
      </c>
    </row>
    <row r="24" spans="1:4" ht="14.25" customHeight="1" x14ac:dyDescent="0.2">
      <c r="A24" s="386"/>
      <c r="B24" s="194" t="s">
        <v>281</v>
      </c>
      <c r="C24" s="196" t="s">
        <v>282</v>
      </c>
      <c r="D24" s="196">
        <v>0</v>
      </c>
    </row>
    <row r="25" spans="1:4" ht="14.25" customHeight="1" x14ac:dyDescent="0.2">
      <c r="A25" s="386"/>
      <c r="B25" s="194" t="s">
        <v>283</v>
      </c>
      <c r="C25" s="196" t="s">
        <v>284</v>
      </c>
      <c r="D25" s="196">
        <v>0</v>
      </c>
    </row>
    <row r="26" spans="1:4" ht="14.25" customHeight="1" x14ac:dyDescent="0.2">
      <c r="A26" s="387"/>
      <c r="B26" s="194" t="s">
        <v>285</v>
      </c>
      <c r="C26" s="197" t="s">
        <v>286</v>
      </c>
      <c r="D26" s="197">
        <v>0</v>
      </c>
    </row>
    <row r="27" spans="1:4" ht="14.25" customHeight="1" x14ac:dyDescent="0.2">
      <c r="A27" s="388" t="s">
        <v>289</v>
      </c>
      <c r="B27" s="198" t="s">
        <v>290</v>
      </c>
      <c r="C27" s="199" t="s">
        <v>291</v>
      </c>
      <c r="D27" s="200">
        <v>0</v>
      </c>
    </row>
    <row r="28" spans="1:4" ht="14.25" customHeight="1" x14ac:dyDescent="0.2">
      <c r="A28" s="389"/>
      <c r="B28" s="201" t="s">
        <v>292</v>
      </c>
      <c r="C28" s="202" t="s">
        <v>293</v>
      </c>
      <c r="D28" s="203">
        <v>0</v>
      </c>
    </row>
  </sheetData>
  <mergeCells count="5">
    <mergeCell ref="A2:A6"/>
    <mergeCell ref="A7:A12"/>
    <mergeCell ref="A13:A17"/>
    <mergeCell ref="A18:A26"/>
    <mergeCell ref="A27:A28"/>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E9D1-8C5F-4899-819C-443753A0F027}">
  <sheetPr>
    <tabColor theme="0" tint="-0.499984740745262"/>
  </sheetPr>
  <dimension ref="B1:E61"/>
  <sheetViews>
    <sheetView showRuler="0" topLeftCell="A23" zoomScaleNormal="100" zoomScaleSheetLayoutView="400" zoomScalePageLayoutView="90" workbookViewId="0">
      <selection activeCell="E43" sqref="E43"/>
    </sheetView>
  </sheetViews>
  <sheetFormatPr defaultColWidth="9.28515625" defaultRowHeight="14.25" customHeight="1" x14ac:dyDescent="0.2"/>
  <cols>
    <col min="1" max="2" width="9.28515625" style="1"/>
    <col min="3" max="3" width="81" style="1" customWidth="1"/>
    <col min="4" max="4" width="10.42578125" style="1" bestFit="1" customWidth="1"/>
    <col min="5" max="5" width="10.85546875" style="1" customWidth="1"/>
    <col min="6" max="16384" width="9.28515625" style="1"/>
  </cols>
  <sheetData>
    <row r="1" spans="2:5" ht="39.950000000000003" customHeight="1" x14ac:dyDescent="0.2">
      <c r="B1" s="310" t="s">
        <v>144</v>
      </c>
      <c r="C1" s="300" t="s">
        <v>145</v>
      </c>
      <c r="D1" s="311" t="s">
        <v>439</v>
      </c>
      <c r="E1" s="311" t="s">
        <v>440</v>
      </c>
    </row>
    <row r="2" spans="2:5" ht="14.25" customHeight="1" x14ac:dyDescent="0.2">
      <c r="B2" s="1" t="s">
        <v>164</v>
      </c>
      <c r="C2" s="1" t="s">
        <v>165</v>
      </c>
      <c r="D2" s="6">
        <v>240.35754918906721</v>
      </c>
      <c r="E2" s="6">
        <f>SUMIFS(Table1[Result for year],Table1[V1.0 standard Indicator reference],B2,Table1[Round],"10")+((SUMIFS(Table1[Target for full project],Table1[V1.0 standard Indicator reference],B2,Table1[Round],"11")-(SUMIFS(Table1[Result for year],Table1[V1.0 standard Indicator reference],B2,Table1[Round],"11"))/2))+SUMIFS(Table1[Result for year],Table1[V1.0 standard Indicator reference],B2,Table1[Round],"11")+((SUMIFS(Table1[Target for full project],Table1[V1.0 standard Indicator reference],B2,Table1[Round],"12")-(SUMIFS(Table1[Result for year],Table1[V1.0 standard Indicator reference],B2,Table1[Round],"12"))/2))+SUMIFS(Table1[Result for year],Table1[V1.0 standard Indicator reference],B2,Table1[Round],"12")</f>
        <v>279.5</v>
      </c>
    </row>
    <row r="3" spans="2:5" ht="14.25" customHeight="1" x14ac:dyDescent="0.2">
      <c r="B3" s="1" t="s">
        <v>167</v>
      </c>
      <c r="C3" s="1" t="s">
        <v>168</v>
      </c>
      <c r="D3" s="6">
        <v>0.91390703113713778</v>
      </c>
      <c r="E3" s="6">
        <f>SUMIFS(Table1[Result for year],Table1[V1.0 standard Indicator reference],B3,Table1[Round],"10")+((SUMIFS(Table1[Target for full project],Table1[V1.0 standard Indicator reference],B3,Table1[Round],"11")-(SUMIFS(Table1[Result for year],Table1[V1.0 standard Indicator reference],B3,Table1[Round],"11"))/2))+SUMIFS(Table1[Result for year],Table1[V1.0 standard Indicator reference],B3,Table1[Round],"11")+((SUMIFS(Table1[Target for full project],Table1[V1.0 standard Indicator reference],B3,Table1[Round],"12")-(SUMIFS(Table1[Result for year],Table1[V1.0 standard Indicator reference],B3,Table1[Round],"12"))/2))+SUMIFS(Table1[Result for year],Table1[V1.0 standard Indicator reference],B3,Table1[Round],"12")</f>
        <v>11.5</v>
      </c>
    </row>
    <row r="4" spans="2:5" ht="14.25" customHeight="1" x14ac:dyDescent="0.2">
      <c r="B4" s="1" t="s">
        <v>169</v>
      </c>
      <c r="C4" s="1" t="s">
        <v>170</v>
      </c>
      <c r="D4" s="6">
        <v>12.109268162567075</v>
      </c>
      <c r="E4" s="6">
        <f>SUMIFS(Table1[Result for year],Table1[V1.0 standard Indicator reference],B4,Table1[Round],"10")+((SUMIFS(Table1[Target for full project],Table1[V1.0 standard Indicator reference],B4,Table1[Round],"11")-(SUMIFS(Table1[Result for year],Table1[V1.0 standard Indicator reference],B4,Table1[Round],"11"))/2))+SUMIFS(Table1[Result for year],Table1[V1.0 standard Indicator reference],B4,Table1[Round],"11")+((SUMIFS(Table1[Target for full project],Table1[V1.0 standard Indicator reference],B4,Table1[Round],"12")-(SUMIFS(Table1[Result for year],Table1[V1.0 standard Indicator reference],B4,Table1[Round],"12"))/2))+SUMIFS(Table1[Result for year],Table1[V1.0 standard Indicator reference],B4,Table1[Round],"12")</f>
        <v>55.5</v>
      </c>
    </row>
    <row r="5" spans="2:5" ht="14.25" customHeight="1" x14ac:dyDescent="0.2">
      <c r="B5" s="1" t="s">
        <v>171</v>
      </c>
      <c r="C5" s="1" t="s">
        <v>172</v>
      </c>
      <c r="D5" s="6">
        <v>17.364233591605618</v>
      </c>
      <c r="E5" s="6">
        <f>SUMIFS(Table1[Result for year],Table1[V1.0 standard Indicator reference],B5,Table1[Round],"10")+((SUMIFS(Table1[Target for full project],Table1[V1.0 standard Indicator reference],B5,Table1[Round],"11")-(SUMIFS(Table1[Result for year],Table1[V1.0 standard Indicator reference],B5,Table1[Round],"11"))/2))+SUMIFS(Table1[Result for year],Table1[V1.0 standard Indicator reference],B5,Table1[Round],"11")+((SUMIFS(Table1[Target for full project],Table1[V1.0 standard Indicator reference],B5,Table1[Round],"12")-(SUMIFS(Table1[Result for year],Table1[V1.0 standard Indicator reference],B5,Table1[Round],"12"))/2))+SUMIFS(Table1[Result for year],Table1[V1.0 standard Indicator reference],B5,Table1[Round],"12")</f>
        <v>20.5</v>
      </c>
    </row>
    <row r="6" spans="2:5" ht="14.25" customHeight="1" x14ac:dyDescent="0.2">
      <c r="B6" s="1" t="s">
        <v>174</v>
      </c>
      <c r="C6" s="1" t="s">
        <v>175</v>
      </c>
      <c r="D6" s="6">
        <v>2.2847675778428442</v>
      </c>
      <c r="E6" s="6">
        <f>SUMIFS(Table1[Result for year],Table1[V1.0 standard Indicator reference],B6,Table1[Round],"10")+((SUMIFS(Table1[Target for full project],Table1[V1.0 standard Indicator reference],B6,Table1[Round],"11")-(SUMIFS(Table1[Result for year],Table1[V1.0 standard Indicator reference],B6,Table1[Round],"11"))/2))+SUMIFS(Table1[Result for year],Table1[V1.0 standard Indicator reference],B6,Table1[Round],"11")+((SUMIFS(Table1[Target for full project],Table1[V1.0 standard Indicator reference],B6,Table1[Round],"12")-(SUMIFS(Table1[Result for year],Table1[V1.0 standard Indicator reference],B6,Table1[Round],"12"))/2))+SUMIFS(Table1[Result for year],Table1[V1.0 standard Indicator reference],B6,Table1[Round],"12")</f>
        <v>0</v>
      </c>
    </row>
    <row r="7" spans="2:5" ht="14.25" customHeight="1" x14ac:dyDescent="0.2">
      <c r="B7" s="1" t="s">
        <v>177</v>
      </c>
      <c r="C7" s="1" t="s">
        <v>178</v>
      </c>
      <c r="D7" s="6">
        <v>0</v>
      </c>
      <c r="E7" s="6">
        <f>SUMIFS(Table1[Result for year],Table1[V1.0 standard Indicator reference],B7,Table1[Round],"10")+((SUMIFS(Table1[Target for full project],Table1[V1.0 standard Indicator reference],B7,Table1[Round],"11")-(SUMIFS(Table1[Result for year],Table1[V1.0 standard Indicator reference],B7,Table1[Round],"11"))/2))+SUMIFS(Table1[Result for year],Table1[V1.0 standard Indicator reference],B7,Table1[Round],"11")+((SUMIFS(Table1[Target for full project],Table1[V1.0 standard Indicator reference],B7,Table1[Round],"12")-(SUMIFS(Table1[Result for year],Table1[V1.0 standard Indicator reference],B7,Table1[Round],"12"))/2))+SUMIFS(Table1[Result for year],Table1[V1.0 standard Indicator reference],B7,Table1[Round],"12")</f>
        <v>0</v>
      </c>
    </row>
    <row r="8" spans="2:5" ht="14.25" customHeight="1" x14ac:dyDescent="0.2">
      <c r="B8" s="1" t="s">
        <v>179</v>
      </c>
      <c r="C8" s="1" t="s">
        <v>180</v>
      </c>
      <c r="D8" s="6">
        <v>3.8841048823328355</v>
      </c>
      <c r="E8" s="6">
        <f>SUMIFS(Table1[Result for year],Table1[V1.0 standard Indicator reference],B8,Table1[Round],"10")+((SUMIFS(Table1[Target for full project],Table1[V1.0 standard Indicator reference],B8,Table1[Round],"11")-(SUMIFS(Table1[Result for year],Table1[V1.0 standard Indicator reference],B8,Table1[Round],"11"))/2))+SUMIFS(Table1[Result for year],Table1[V1.0 standard Indicator reference],B8,Table1[Round],"11")+((SUMIFS(Table1[Target for full project],Table1[V1.0 standard Indicator reference],B8,Table1[Round],"12")-(SUMIFS(Table1[Result for year],Table1[V1.0 standard Indicator reference],B8,Table1[Round],"12"))/2))+SUMIFS(Table1[Result for year],Table1[V1.0 standard Indicator reference],B8,Table1[Round],"12")</f>
        <v>14.5</v>
      </c>
    </row>
    <row r="9" spans="2:5" ht="14.25" customHeight="1" x14ac:dyDescent="0.2">
      <c r="B9" s="1" t="s">
        <v>181</v>
      </c>
      <c r="C9" s="1" t="s">
        <v>182</v>
      </c>
      <c r="D9" s="6">
        <v>0</v>
      </c>
      <c r="E9" s="6">
        <f>SUMIFS(Table1[Result for year],Table1[V1.0 standard Indicator reference],B9,Table1[Round],"10")+((SUMIFS(Table1[Target for full project],Table1[V1.0 standard Indicator reference],B9,Table1[Round],"11")-(SUMIFS(Table1[Result for year],Table1[V1.0 standard Indicator reference],B9,Table1[Round],"11"))/2))+SUMIFS(Table1[Result for year],Table1[V1.0 standard Indicator reference],B9,Table1[Round],"11")+((SUMIFS(Table1[Target for full project],Table1[V1.0 standard Indicator reference],B9,Table1[Round],"12")-(SUMIFS(Table1[Result for year],Table1[V1.0 standard Indicator reference],B9,Table1[Round],"12"))/2))+SUMIFS(Table1[Result for year],Table1[V1.0 standard Indicator reference],B9,Table1[Round],"12")</f>
        <v>0</v>
      </c>
    </row>
    <row r="10" spans="2:5" ht="14.25" customHeight="1" x14ac:dyDescent="0.2">
      <c r="B10" s="1" t="s">
        <v>183</v>
      </c>
      <c r="C10" s="1" t="s">
        <v>184</v>
      </c>
      <c r="D10" s="6">
        <v>0</v>
      </c>
      <c r="E10" s="6">
        <f>SUMIFS(Table1[Result for year],Table1[V1.0 standard Indicator reference],B10,Table1[Round],"10")+((SUMIFS(Table1[Target for full project],Table1[V1.0 standard Indicator reference],B10,Table1[Round],"11")-(SUMIFS(Table1[Result for year],Table1[V1.0 standard Indicator reference],B10,Table1[Round],"11"))/2))+SUMIFS(Table1[Result for year],Table1[V1.0 standard Indicator reference],B10,Table1[Round],"11")+((SUMIFS(Table1[Target for full project],Table1[V1.0 standard Indicator reference],B10,Table1[Round],"12")-(SUMIFS(Table1[Result for year],Table1[V1.0 standard Indicator reference],B10,Table1[Round],"12"))/2))+SUMIFS(Table1[Result for year],Table1[V1.0 standard Indicator reference],B10,Table1[Round],"12")</f>
        <v>0</v>
      </c>
    </row>
    <row r="11" spans="2:5" ht="14.25" customHeight="1" x14ac:dyDescent="0.2">
      <c r="B11" s="1" t="s">
        <v>185</v>
      </c>
      <c r="C11" s="1" t="s">
        <v>186</v>
      </c>
      <c r="D11" s="6">
        <v>0</v>
      </c>
      <c r="E11" s="6">
        <f>SUMIFS(Table1[Result for year],Table1[V1.0 standard Indicator reference],B11,Table1[Round],"10")+((SUMIFS(Table1[Target for full project],Table1[V1.0 standard Indicator reference],B11,Table1[Round],"11")-(SUMIFS(Table1[Result for year],Table1[V1.0 standard Indicator reference],B11,Table1[Round],"11"))/2))+SUMIFS(Table1[Result for year],Table1[V1.0 standard Indicator reference],B11,Table1[Round],"11")+((SUMIFS(Table1[Target for full project],Table1[V1.0 standard Indicator reference],B11,Table1[Round],"12")-(SUMIFS(Table1[Result for year],Table1[V1.0 standard Indicator reference],B11,Table1[Round],"12"))/2))+SUMIFS(Table1[Result for year],Table1[V1.0 standard Indicator reference],B11,Table1[Round],"12")</f>
        <v>0</v>
      </c>
    </row>
    <row r="12" spans="2:5" ht="14.25" customHeight="1" x14ac:dyDescent="0.2">
      <c r="B12" s="1" t="s">
        <v>188</v>
      </c>
      <c r="C12" s="1" t="s">
        <v>189</v>
      </c>
      <c r="D12" s="6">
        <v>2.9701978511956972</v>
      </c>
      <c r="E12" s="6">
        <f>SUMIFS(Table1[Result for year],Table1[V1.0 standard Indicator reference],B12,Table1[Round],"10")+((SUMIFS(Table1[Target for full project],Table1[V1.0 standard Indicator reference],B12,Table1[Round],"11")-(SUMIFS(Table1[Result for year],Table1[V1.0 standard Indicator reference],B12,Table1[Round],"11"))/2))+SUMIFS(Table1[Result for year],Table1[V1.0 standard Indicator reference],B12,Table1[Round],"11")+((SUMIFS(Table1[Target for full project],Table1[V1.0 standard Indicator reference],B12,Table1[Round],"12")-(SUMIFS(Table1[Result for year],Table1[V1.0 standard Indicator reference],B12,Table1[Round],"12"))/2))+SUMIFS(Table1[Result for year],Table1[V1.0 standard Indicator reference],B12,Table1[Round],"12")</f>
        <v>23.5</v>
      </c>
    </row>
    <row r="13" spans="2:5" ht="14.25" customHeight="1" x14ac:dyDescent="0.2">
      <c r="B13" s="1" t="s">
        <v>190</v>
      </c>
      <c r="C13" s="1" t="s">
        <v>191</v>
      </c>
      <c r="D13" s="6">
        <v>3.6556281245485516</v>
      </c>
      <c r="E13" s="6">
        <f>SUMIFS(Table1[Result for year],Table1[V1.0 standard Indicator reference],B13,Table1[Round],"10")+((SUMIFS(Table1[Target for full project],Table1[V1.0 standard Indicator reference],B13,Table1[Round],"11")-(SUMIFS(Table1[Result for year],Table1[V1.0 standard Indicator reference],B13,Table1[Round],"11"))/2))+SUMIFS(Table1[Result for year],Table1[V1.0 standard Indicator reference],B13,Table1[Round],"11")+((SUMIFS(Table1[Target for full project],Table1[V1.0 standard Indicator reference],B13,Table1[Round],"12")-(SUMIFS(Table1[Result for year],Table1[V1.0 standard Indicator reference],B13,Table1[Round],"12"))/2))+SUMIFS(Table1[Result for year],Table1[V1.0 standard Indicator reference],B13,Table1[Round],"12")</f>
        <v>8</v>
      </c>
    </row>
    <row r="14" spans="2:5" ht="14.25" customHeight="1" x14ac:dyDescent="0.2">
      <c r="B14" s="1" t="s">
        <v>192</v>
      </c>
      <c r="C14" s="1" t="s">
        <v>193</v>
      </c>
      <c r="D14" s="6">
        <v>2.9701978511956972</v>
      </c>
      <c r="E14" s="6">
        <f>SUMIFS(Table1[Result for year],Table1[V1.0 standard Indicator reference],B14,Table1[Round],"10")+((SUMIFS(Table1[Target for full project],Table1[V1.0 standard Indicator reference],B14,Table1[Round],"11")-(SUMIFS(Table1[Result for year],Table1[V1.0 standard Indicator reference],B14,Table1[Round],"11"))/2))+SUMIFS(Table1[Result for year],Table1[V1.0 standard Indicator reference],B14,Table1[Round],"11")+((SUMIFS(Table1[Target for full project],Table1[V1.0 standard Indicator reference],B14,Table1[Round],"12")-(SUMIFS(Table1[Result for year],Table1[V1.0 standard Indicator reference],B14,Table1[Round],"12"))/2))+SUMIFS(Table1[Result for year],Table1[V1.0 standard Indicator reference],B14,Table1[Round],"12")</f>
        <v>0</v>
      </c>
    </row>
    <row r="15" spans="2:5" ht="14.25" customHeight="1" x14ac:dyDescent="0.2">
      <c r="B15" s="1" t="s">
        <v>195</v>
      </c>
      <c r="C15" s="1" t="s">
        <v>196</v>
      </c>
      <c r="D15" s="6">
        <v>0.68543027335285323</v>
      </c>
      <c r="E15" s="6">
        <f>SUMIFS(Table1[Result for year],Table1[V1.0 standard Indicator reference],B15,Table1[Round],"10")+((SUMIFS(Table1[Target for full project],Table1[V1.0 standard Indicator reference],B15,Table1[Round],"11")-(SUMIFS(Table1[Result for year],Table1[V1.0 standard Indicator reference],B15,Table1[Round],"11"))/2))+SUMIFS(Table1[Result for year],Table1[V1.0 standard Indicator reference],B15,Table1[Round],"11")+((SUMIFS(Table1[Target for full project],Table1[V1.0 standard Indicator reference],B15,Table1[Round],"12")-(SUMIFS(Table1[Result for year],Table1[V1.0 standard Indicator reference],B15,Table1[Round],"12"))/2))+SUMIFS(Table1[Result for year],Table1[V1.0 standard Indicator reference],B15,Table1[Round],"12")</f>
        <v>0</v>
      </c>
    </row>
    <row r="16" spans="2:5" ht="14.25" customHeight="1" x14ac:dyDescent="0.2">
      <c r="B16" s="1" t="s">
        <v>197</v>
      </c>
      <c r="C16" s="1" t="s">
        <v>198</v>
      </c>
      <c r="D16" s="6">
        <v>25.589396871839853</v>
      </c>
      <c r="E16" s="6">
        <f>SUMIFS(Table1[Result for year],Table1[V1.0 standard Indicator reference],B16,Table1[Round],"10")+((SUMIFS(Table1[Target for full project],Table1[V1.0 standard Indicator reference],B16,Table1[Round],"11")-(SUMIFS(Table1[Result for year],Table1[V1.0 standard Indicator reference],B16,Table1[Round],"11"))/2))+SUMIFS(Table1[Result for year],Table1[V1.0 standard Indicator reference],B16,Table1[Round],"11")+((SUMIFS(Table1[Target for full project],Table1[V1.0 standard Indicator reference],B16,Table1[Round],"12")-(SUMIFS(Table1[Result for year],Table1[V1.0 standard Indicator reference],B16,Table1[Round],"12"))/2))+SUMIFS(Table1[Result for year],Table1[V1.0 standard Indicator reference],B16,Table1[Round],"12")</f>
        <v>559</v>
      </c>
    </row>
    <row r="17" spans="2:5" ht="14.25" customHeight="1" x14ac:dyDescent="0.2">
      <c r="B17" s="1" t="s">
        <v>199</v>
      </c>
      <c r="C17" s="1" t="s">
        <v>200</v>
      </c>
      <c r="D17" s="6">
        <v>0</v>
      </c>
      <c r="E17" s="6">
        <f>SUMIFS(Table1[Result for year],Table1[V1.0 standard Indicator reference],B17,Table1[Round],"10")+((SUMIFS(Table1[Target for full project],Table1[V1.0 standard Indicator reference],B17,Table1[Round],"11")-(SUMIFS(Table1[Result for year],Table1[V1.0 standard Indicator reference],B17,Table1[Round],"11"))/2))+SUMIFS(Table1[Result for year],Table1[V1.0 standard Indicator reference],B17,Table1[Round],"11")+((SUMIFS(Table1[Target for full project],Table1[V1.0 standard Indicator reference],B17,Table1[Round],"12")-(SUMIFS(Table1[Result for year],Table1[V1.0 standard Indicator reference],B17,Table1[Round],"12"))/2))+SUMIFS(Table1[Result for year],Table1[V1.0 standard Indicator reference],B17,Table1[Round],"12")</f>
        <v>0</v>
      </c>
    </row>
    <row r="18" spans="2:5" ht="14.25" customHeight="1" x14ac:dyDescent="0.2">
      <c r="B18" s="1" t="s">
        <v>201</v>
      </c>
      <c r="C18" s="1" t="s">
        <v>202</v>
      </c>
      <c r="D18" s="6">
        <v>0</v>
      </c>
      <c r="E18" s="6">
        <f>SUMIFS(Table1[Result for year],Table1[V1.0 standard Indicator reference],B18,Table1[Round],"10")+((SUMIFS(Table1[Target for full project],Table1[V1.0 standard Indicator reference],B18,Table1[Round],"11")-(SUMIFS(Table1[Result for year],Table1[V1.0 standard Indicator reference],B18,Table1[Round],"11"))/2))+SUMIFS(Table1[Result for year],Table1[V1.0 standard Indicator reference],B18,Table1[Round],"11")+((SUMIFS(Table1[Target for full project],Table1[V1.0 standard Indicator reference],B18,Table1[Round],"12")-(SUMIFS(Table1[Result for year],Table1[V1.0 standard Indicator reference],B18,Table1[Round],"12"))/2))+SUMIFS(Table1[Result for year],Table1[V1.0 standard Indicator reference],B18,Table1[Round],"12")</f>
        <v>0</v>
      </c>
    </row>
    <row r="19" spans="2:5" ht="14.25" customHeight="1" x14ac:dyDescent="0.2">
      <c r="B19" s="1" t="s">
        <v>203</v>
      </c>
      <c r="C19" s="1" t="s">
        <v>204</v>
      </c>
      <c r="D19" s="6">
        <v>0</v>
      </c>
      <c r="E19" s="6">
        <f>SUMIFS(Table1[Result for year],Table1[V1.0 standard Indicator reference],B19,Table1[Round],"10")+((SUMIFS(Table1[Target for full project],Table1[V1.0 standard Indicator reference],B19,Table1[Round],"11")-(SUMIFS(Table1[Result for year],Table1[V1.0 standard Indicator reference],B19,Table1[Round],"11"))/2))+SUMIFS(Table1[Result for year],Table1[V1.0 standard Indicator reference],B19,Table1[Round],"11")+((SUMIFS(Table1[Target for full project],Table1[V1.0 standard Indicator reference],B19,Table1[Round],"12")-(SUMIFS(Table1[Result for year],Table1[V1.0 standard Indicator reference],B19,Table1[Round],"12"))/2))+SUMIFS(Table1[Result for year],Table1[V1.0 standard Indicator reference],B19,Table1[Round],"12")</f>
        <v>0</v>
      </c>
    </row>
    <row r="20" spans="2:5" ht="14.25" customHeight="1" x14ac:dyDescent="0.2">
      <c r="B20" s="1" t="s">
        <v>205</v>
      </c>
      <c r="C20" s="1" t="s">
        <v>206</v>
      </c>
      <c r="D20" s="6">
        <v>0</v>
      </c>
      <c r="E20" s="6">
        <f>SUMIFS(Table1[Result for year],Table1[V1.0 standard Indicator reference],B20,Table1[Round],"10")+((SUMIFS(Table1[Target for full project],Table1[V1.0 standard Indicator reference],B20,Table1[Round],"11")-(SUMIFS(Table1[Result for year],Table1[V1.0 standard Indicator reference],B20,Table1[Round],"11"))/2))+SUMIFS(Table1[Result for year],Table1[V1.0 standard Indicator reference],B20,Table1[Round],"11")+((SUMIFS(Table1[Target for full project],Table1[V1.0 standard Indicator reference],B20,Table1[Round],"12")-(SUMIFS(Table1[Result for year],Table1[V1.0 standard Indicator reference],B20,Table1[Round],"12"))/2))+SUMIFS(Table1[Result for year],Table1[V1.0 standard Indicator reference],B20,Table1[Round],"12")</f>
        <v>0</v>
      </c>
    </row>
    <row r="21" spans="2:5" ht="14.25" customHeight="1" x14ac:dyDescent="0.2">
      <c r="B21" s="1" t="s">
        <v>207</v>
      </c>
      <c r="C21" s="1" t="s">
        <v>208</v>
      </c>
      <c r="D21" s="6">
        <v>4.5695351556856894</v>
      </c>
      <c r="E21" s="6">
        <f>SUMIFS(Table1[Result for year],Table1[V1.0 standard Indicator reference],B21,Table1[Round],"10")+((SUMIFS(Table1[Target for full project],Table1[V1.0 standard Indicator reference],B21,Table1[Round],"11")-(SUMIFS(Table1[Result for year],Table1[V1.0 standard Indicator reference],B21,Table1[Round],"11"))/2))+SUMIFS(Table1[Result for year],Table1[V1.0 standard Indicator reference],B21,Table1[Round],"11")+((SUMIFS(Table1[Target for full project],Table1[V1.0 standard Indicator reference],B21,Table1[Round],"12")-(SUMIFS(Table1[Result for year],Table1[V1.0 standard Indicator reference],B21,Table1[Round],"12"))/2))+SUMIFS(Table1[Result for year],Table1[V1.0 standard Indicator reference],B21,Table1[Round],"12")</f>
        <v>0</v>
      </c>
    </row>
    <row r="22" spans="2:5" ht="14.25" customHeight="1" x14ac:dyDescent="0.2">
      <c r="B22" s="1" t="s">
        <v>210</v>
      </c>
      <c r="C22" s="1" t="s">
        <v>211</v>
      </c>
      <c r="D22" s="6">
        <v>0</v>
      </c>
      <c r="E22" s="6">
        <f>SUMIFS(Table1[Result for year],Table1[V1.0 standard Indicator reference],B22,Table1[Round],"10")+((SUMIFS(Table1[Target for full project],Table1[V1.0 standard Indicator reference],B22,Table1[Round],"11")-(SUMIFS(Table1[Result for year],Table1[V1.0 standard Indicator reference],B22,Table1[Round],"11"))/2))+SUMIFS(Table1[Result for year],Table1[V1.0 standard Indicator reference],B22,Table1[Round],"11")+((SUMIFS(Table1[Target for full project],Table1[V1.0 standard Indicator reference],B22,Table1[Round],"12")-(SUMIFS(Table1[Result for year],Table1[V1.0 standard Indicator reference],B22,Table1[Round],"12"))/2))+SUMIFS(Table1[Result for year],Table1[V1.0 standard Indicator reference],B22,Table1[Round],"12")</f>
        <v>68600</v>
      </c>
    </row>
    <row r="23" spans="2:5" ht="14.25" customHeight="1" x14ac:dyDescent="0.2">
      <c r="B23" s="1" t="s">
        <v>212</v>
      </c>
      <c r="C23" s="1" t="s">
        <v>213</v>
      </c>
      <c r="D23" s="6">
        <v>0</v>
      </c>
      <c r="E23" s="6">
        <f>SUMIFS(Table1[Result for year],Table1[V1.0 standard Indicator reference],B23,Table1[Round],"10")+((SUMIFS(Table1[Target for full project],Table1[V1.0 standard Indicator reference],B23,Table1[Round],"11")-(SUMIFS(Table1[Result for year],Table1[V1.0 standard Indicator reference],B23,Table1[Round],"11"))/2))+SUMIFS(Table1[Result for year],Table1[V1.0 standard Indicator reference],B23,Table1[Round],"11")+((SUMIFS(Table1[Target for full project],Table1[V1.0 standard Indicator reference],B23,Table1[Round],"12")-(SUMIFS(Table1[Result for year],Table1[V1.0 standard Indicator reference],B23,Table1[Round],"12"))/2))+SUMIFS(Table1[Result for year],Table1[V1.0 standard Indicator reference],B23,Table1[Round],"12")</f>
        <v>0</v>
      </c>
    </row>
    <row r="24" spans="2:5" ht="14.25" customHeight="1" x14ac:dyDescent="0.2">
      <c r="B24" s="1" t="s">
        <v>215</v>
      </c>
      <c r="C24" s="1" t="s">
        <v>216</v>
      </c>
      <c r="D24" s="6">
        <v>9.3675470691556608</v>
      </c>
      <c r="E24" s="6">
        <f>SUMIFS(Table1[Result for year],Table1[V1.0 standard Indicator reference],B24,Table1[Round],"10")+((SUMIFS(Table1[Target for full project],Table1[V1.0 standard Indicator reference],B24,Table1[Round],"11")-(SUMIFS(Table1[Result for year],Table1[V1.0 standard Indicator reference],B24,Table1[Round],"11"))/2))+SUMIFS(Table1[Result for year],Table1[V1.0 standard Indicator reference],B24,Table1[Round],"11")+((SUMIFS(Table1[Target for full project],Table1[V1.0 standard Indicator reference],B24,Table1[Round],"12")-(SUMIFS(Table1[Result for year],Table1[V1.0 standard Indicator reference],B24,Table1[Round],"12"))/2))+SUMIFS(Table1[Result for year],Table1[V1.0 standard Indicator reference],B24,Table1[Round],"12")</f>
        <v>26.5</v>
      </c>
    </row>
    <row r="25" spans="2:5" ht="14.25" customHeight="1" x14ac:dyDescent="0.2">
      <c r="B25" s="1" t="s">
        <v>217</v>
      </c>
      <c r="C25" s="1" t="s">
        <v>218</v>
      </c>
      <c r="D25" s="6">
        <v>9.5960238269399465</v>
      </c>
      <c r="E25" s="6">
        <f>SUMIFS(Table1[Result for year],Table1[V1.0 standard Indicator reference],B25,Table1[Round],"10")+((SUMIFS(Table1[Target for full project],Table1[V1.0 standard Indicator reference],B25,Table1[Round],"11")-(SUMIFS(Table1[Result for year],Table1[V1.0 standard Indicator reference],B25,Table1[Round],"11"))/2))+SUMIFS(Table1[Result for year],Table1[V1.0 standard Indicator reference],B25,Table1[Round],"11")+((SUMIFS(Table1[Target for full project],Table1[V1.0 standard Indicator reference],B25,Table1[Round],"12")-(SUMIFS(Table1[Result for year],Table1[V1.0 standard Indicator reference],B25,Table1[Round],"12"))/2))+SUMIFS(Table1[Result for year],Table1[V1.0 standard Indicator reference],B25,Table1[Round],"12")</f>
        <v>24.5</v>
      </c>
    </row>
    <row r="26" spans="2:5" ht="14.25" customHeight="1" x14ac:dyDescent="0.2">
      <c r="B26" s="1" t="s">
        <v>219</v>
      </c>
      <c r="C26" s="1" t="s">
        <v>220</v>
      </c>
      <c r="D26" s="6">
        <v>0.91390703113713778</v>
      </c>
      <c r="E26" s="6">
        <f>SUMIFS(Table1[Result for year],Table1[V1.0 standard Indicator reference],B26,Table1[Round],"10")+((SUMIFS(Table1[Target for full project],Table1[V1.0 standard Indicator reference],B26,Table1[Round],"11")-(SUMIFS(Table1[Result for year],Table1[V1.0 standard Indicator reference],B26,Table1[Round],"11"))/2))+SUMIFS(Table1[Result for year],Table1[V1.0 standard Indicator reference],B26,Table1[Round],"11")+((SUMIFS(Table1[Target for full project],Table1[V1.0 standard Indicator reference],B26,Table1[Round],"12")-(SUMIFS(Table1[Result for year],Table1[V1.0 standard Indicator reference],B26,Table1[Round],"12"))/2))+SUMIFS(Table1[Result for year],Table1[V1.0 standard Indicator reference],B26,Table1[Round],"12")</f>
        <v>6</v>
      </c>
    </row>
    <row r="27" spans="2:5" ht="14.25" customHeight="1" x14ac:dyDescent="0.2">
      <c r="B27" s="1" t="s">
        <v>221</v>
      </c>
      <c r="C27" s="1" t="s">
        <v>222</v>
      </c>
      <c r="D27" s="6">
        <v>0.91390703113713778</v>
      </c>
      <c r="E27" s="6">
        <f>SUMIFS(Table1[Result for year],Table1[V1.0 standard Indicator reference],B27,Table1[Round],"10")+((SUMIFS(Table1[Target for full project],Table1[V1.0 standard Indicator reference],B27,Table1[Round],"11")-(SUMIFS(Table1[Result for year],Table1[V1.0 standard Indicator reference],B27,Table1[Round],"11"))/2))+SUMIFS(Table1[Result for year],Table1[V1.0 standard Indicator reference],B27,Table1[Round],"11")+((SUMIFS(Table1[Target for full project],Table1[V1.0 standard Indicator reference],B27,Table1[Round],"12")-(SUMIFS(Table1[Result for year],Table1[V1.0 standard Indicator reference],B27,Table1[Round],"12"))/2))+SUMIFS(Table1[Result for year],Table1[V1.0 standard Indicator reference],B27,Table1[Round],"12")</f>
        <v>0.5</v>
      </c>
    </row>
    <row r="28" spans="2:5" ht="14.25" customHeight="1" x14ac:dyDescent="0.2">
      <c r="B28" s="1" t="s">
        <v>223</v>
      </c>
      <c r="C28" s="1" t="s">
        <v>224</v>
      </c>
      <c r="D28" s="6">
        <v>3.884104882332835</v>
      </c>
      <c r="E28" s="6">
        <f>SUMIFS(Table1[Result for year],Table1[V1.0 standard Indicator reference],B28,Table1[Round],"10")+((SUMIFS(Table1[Target for full project],Table1[V1.0 standard Indicator reference],B28,Table1[Round],"11")-(SUMIFS(Table1[Result for year],Table1[V1.0 standard Indicator reference],B28,Table1[Round],"11"))/2))+SUMIFS(Table1[Result for year],Table1[V1.0 standard Indicator reference],B28,Table1[Round],"11")+((SUMIFS(Table1[Target for full project],Table1[V1.0 standard Indicator reference],B28,Table1[Round],"12")-(SUMIFS(Table1[Result for year],Table1[V1.0 standard Indicator reference],B28,Table1[Round],"12"))/2))+SUMIFS(Table1[Result for year],Table1[V1.0 standard Indicator reference],B28,Table1[Round],"12")</f>
        <v>14</v>
      </c>
    </row>
    <row r="29" spans="2:5" ht="14.25" customHeight="1" x14ac:dyDescent="0.2">
      <c r="B29" s="1" t="s">
        <v>225</v>
      </c>
      <c r="C29" s="1" t="s">
        <v>226</v>
      </c>
      <c r="D29" s="6">
        <v>0</v>
      </c>
      <c r="E29" s="6">
        <f>SUMIFS(Table1[Result for year],Table1[V1.0 standard Indicator reference],B29,Table1[Round],"10")+((SUMIFS(Table1[Target for full project],Table1[V1.0 standard Indicator reference],B29,Table1[Round],"11")-(SUMIFS(Table1[Result for year],Table1[V1.0 standard Indicator reference],B29,Table1[Round],"11"))/2))+SUMIFS(Table1[Result for year],Table1[V1.0 standard Indicator reference],B29,Table1[Round],"11")+((SUMIFS(Table1[Target for full project],Table1[V1.0 standard Indicator reference],B29,Table1[Round],"12")-(SUMIFS(Table1[Result for year],Table1[V1.0 standard Indicator reference],B29,Table1[Round],"12"))/2))+SUMIFS(Table1[Result for year],Table1[V1.0 standard Indicator reference],B29,Table1[Round],"12")</f>
        <v>0</v>
      </c>
    </row>
    <row r="30" spans="2:5" ht="14.25" customHeight="1" x14ac:dyDescent="0.2">
      <c r="B30" s="1" t="s">
        <v>227</v>
      </c>
      <c r="C30" s="1" t="s">
        <v>228</v>
      </c>
      <c r="D30" s="6">
        <v>0.45695351556856889</v>
      </c>
      <c r="E30" s="6">
        <f>SUMIFS(Table1[Result for year],Table1[V1.0 standard Indicator reference],B30,Table1[Round],"10")+((SUMIFS(Table1[Target for full project],Table1[V1.0 standard Indicator reference],B30,Table1[Round],"11")-(SUMIFS(Table1[Result for year],Table1[V1.0 standard Indicator reference],B30,Table1[Round],"11"))/2))+SUMIFS(Table1[Result for year],Table1[V1.0 standard Indicator reference],B30,Table1[Round],"11")+((SUMIFS(Table1[Target for full project],Table1[V1.0 standard Indicator reference],B30,Table1[Round],"12")-(SUMIFS(Table1[Result for year],Table1[V1.0 standard Indicator reference],B30,Table1[Round],"12"))/2))+SUMIFS(Table1[Result for year],Table1[V1.0 standard Indicator reference],B30,Table1[Round],"12")</f>
        <v>2</v>
      </c>
    </row>
    <row r="31" spans="2:5" ht="14.25" customHeight="1" x14ac:dyDescent="0.2">
      <c r="B31" s="1" t="s">
        <v>230</v>
      </c>
      <c r="C31" s="1" t="s">
        <v>231</v>
      </c>
      <c r="D31" s="6">
        <v>0.68543027335285323</v>
      </c>
      <c r="E31" s="6">
        <f>SUMIFS(Table1[Result for year],Table1[V1.0 standard Indicator reference],B31,Table1[Round],"10")+((SUMIFS(Table1[Target for full project],Table1[V1.0 standard Indicator reference],B31,Table1[Round],"11")-(SUMIFS(Table1[Result for year],Table1[V1.0 standard Indicator reference],B31,Table1[Round],"11"))/2))+SUMIFS(Table1[Result for year],Table1[V1.0 standard Indicator reference],B31,Table1[Round],"11")+((SUMIFS(Table1[Target for full project],Table1[V1.0 standard Indicator reference],B31,Table1[Round],"12")-(SUMIFS(Table1[Result for year],Table1[V1.0 standard Indicator reference],B31,Table1[Round],"12"))/2))+SUMIFS(Table1[Result for year],Table1[V1.0 standard Indicator reference],B31,Table1[Round],"12")</f>
        <v>4</v>
      </c>
    </row>
    <row r="32" spans="2:5" ht="14.25" customHeight="1" x14ac:dyDescent="0.2">
      <c r="B32" s="1" t="s">
        <v>232</v>
      </c>
      <c r="C32" s="1" t="s">
        <v>233</v>
      </c>
      <c r="D32" s="6">
        <v>1.8278140622742756</v>
      </c>
      <c r="E32" s="6">
        <f>SUMIFS(Table1[Result for year],Table1[V1.0 standard Indicator reference],B32,Table1[Round],"10")+((SUMIFS(Table1[Target for full project],Table1[V1.0 standard Indicator reference],B32,Table1[Round],"11")-(SUMIFS(Table1[Result for year],Table1[V1.0 standard Indicator reference],B32,Table1[Round],"11"))/2))+SUMIFS(Table1[Result for year],Table1[V1.0 standard Indicator reference],B32,Table1[Round],"11")+((SUMIFS(Table1[Target for full project],Table1[V1.0 standard Indicator reference],B32,Table1[Round],"12")-(SUMIFS(Table1[Result for year],Table1[V1.0 standard Indicator reference],B32,Table1[Round],"12"))/2))+SUMIFS(Table1[Result for year],Table1[V1.0 standard Indicator reference],B32,Table1[Round],"12")</f>
        <v>10</v>
      </c>
    </row>
    <row r="33" spans="2:5" ht="14.25" customHeight="1" x14ac:dyDescent="0.2">
      <c r="B33" s="1" t="s">
        <v>234</v>
      </c>
      <c r="C33" s="1" t="s">
        <v>235</v>
      </c>
      <c r="D33" s="6">
        <v>0.45695351556856889</v>
      </c>
      <c r="E33" s="6">
        <f>SUMIFS(Table1[Result for year],Table1[V1.0 standard Indicator reference],B33,Table1[Round],"10")+((SUMIFS(Table1[Target for full project],Table1[V1.0 standard Indicator reference],B33,Table1[Round],"11")-(SUMIFS(Table1[Result for year],Table1[V1.0 standard Indicator reference],B33,Table1[Round],"11"))/2))+SUMIFS(Table1[Result for year],Table1[V1.0 standard Indicator reference],B33,Table1[Round],"11")+((SUMIFS(Table1[Target for full project],Table1[V1.0 standard Indicator reference],B33,Table1[Round],"12")-(SUMIFS(Table1[Result for year],Table1[V1.0 standard Indicator reference],B33,Table1[Round],"12"))/2))+SUMIFS(Table1[Result for year],Table1[V1.0 standard Indicator reference],B33,Table1[Round],"12")</f>
        <v>2</v>
      </c>
    </row>
    <row r="34" spans="2:5" ht="14.25" customHeight="1" x14ac:dyDescent="0.2">
      <c r="B34" s="1" t="s">
        <v>236</v>
      </c>
      <c r="C34" s="1" t="s">
        <v>237</v>
      </c>
      <c r="D34" s="6">
        <v>0.22847675778428445</v>
      </c>
      <c r="E34" s="6">
        <f>SUMIFS(Table1[Result for year],Table1[V1.0 standard Indicator reference],B34,Table1[Round],"10")+((SUMIFS(Table1[Target for full project],Table1[V1.0 standard Indicator reference],B34,Table1[Round],"11")-(SUMIFS(Table1[Result for year],Table1[V1.0 standard Indicator reference],B34,Table1[Round],"11"))/2))+SUMIFS(Table1[Result for year],Table1[V1.0 standard Indicator reference],B34,Table1[Round],"11")+((SUMIFS(Table1[Target for full project],Table1[V1.0 standard Indicator reference],B34,Table1[Round],"12")-(SUMIFS(Table1[Result for year],Table1[V1.0 standard Indicator reference],B34,Table1[Round],"12"))/2))+SUMIFS(Table1[Result for year],Table1[V1.0 standard Indicator reference],B34,Table1[Round],"12")</f>
        <v>0</v>
      </c>
    </row>
    <row r="35" spans="2:5" ht="14.25" customHeight="1" x14ac:dyDescent="0.2">
      <c r="B35" s="1" t="s">
        <v>238</v>
      </c>
      <c r="C35" s="1" t="s">
        <v>239</v>
      </c>
      <c r="D35" s="6">
        <v>89225.657356949887</v>
      </c>
      <c r="E35" s="6">
        <f>SUMIFS(Table1[Result for year],Table1[V1.0 standard Indicator reference],B35,Table1[Round],"10")+((SUMIFS(Table1[Target for full project],Table1[V1.0 standard Indicator reference],B35,Table1[Round],"11")-(SUMIFS(Table1[Result for year],Table1[V1.0 standard Indicator reference],B35,Table1[Round],"11"))/2))+SUMIFS(Table1[Result for year],Table1[V1.0 standard Indicator reference],B35,Table1[Round],"11")+((SUMIFS(Table1[Target for full project],Table1[V1.0 standard Indicator reference],B35,Table1[Round],"12")-(SUMIFS(Table1[Result for year],Table1[V1.0 standard Indicator reference],B35,Table1[Round],"12"))/2))+SUMIFS(Table1[Result for year],Table1[V1.0 standard Indicator reference],B35,Table1[Round],"12")</f>
        <v>246968.5</v>
      </c>
    </row>
    <row r="36" spans="2:5" ht="14.25" customHeight="1" x14ac:dyDescent="0.2">
      <c r="B36" s="1" t="s">
        <v>240</v>
      </c>
      <c r="C36" s="1" t="s">
        <v>241</v>
      </c>
      <c r="D36" s="6">
        <v>240.58602594685149</v>
      </c>
      <c r="E36" s="6">
        <f>SUMIFS(Table1[Result for year],Table1[V1.0 standard Indicator reference],B36,Table1[Round],"10")+((SUMIFS(Table1[Target for full project],Table1[V1.0 standard Indicator reference],B36,Table1[Round],"11")-(SUMIFS(Table1[Result for year],Table1[V1.0 standard Indicator reference],B36,Table1[Round],"11"))/2))+SUMIFS(Table1[Result for year],Table1[V1.0 standard Indicator reference],B36,Table1[Round],"11")+((SUMIFS(Table1[Target for full project],Table1[V1.0 standard Indicator reference],B36,Table1[Round],"12")-(SUMIFS(Table1[Result for year],Table1[V1.0 standard Indicator reference],B36,Table1[Round],"12"))/2))+SUMIFS(Table1[Result for year],Table1[V1.0 standard Indicator reference],B36,Table1[Round],"12")</f>
        <v>68.5</v>
      </c>
    </row>
    <row r="37" spans="2:5" ht="14.25" customHeight="1" x14ac:dyDescent="0.2">
      <c r="B37" s="1" t="s">
        <v>243</v>
      </c>
      <c r="C37" s="1" t="s">
        <v>244</v>
      </c>
      <c r="D37" s="6">
        <v>8.910593553587093</v>
      </c>
      <c r="E37" s="6">
        <f>SUMIFS(Table1[Result for year],Table1[V1.0 standard Indicator reference],B37,Table1[Round],"10")+((SUMIFS(Table1[Target for full project],Table1[V1.0 standard Indicator reference],B37,Table1[Round],"11")-(SUMIFS(Table1[Result for year],Table1[V1.0 standard Indicator reference],B37,Table1[Round],"11"))/2))+SUMIFS(Table1[Result for year],Table1[V1.0 standard Indicator reference],B37,Table1[Round],"11")+((SUMIFS(Table1[Target for full project],Table1[V1.0 standard Indicator reference],B37,Table1[Round],"12")-(SUMIFS(Table1[Result for year],Table1[V1.0 standard Indicator reference],B37,Table1[Round],"12"))/2))+SUMIFS(Table1[Result for year],Table1[V1.0 standard Indicator reference],B37,Table1[Round],"12")</f>
        <v>0</v>
      </c>
    </row>
    <row r="38" spans="2:5" ht="14.25" customHeight="1" x14ac:dyDescent="0.2">
      <c r="B38" s="1" t="s">
        <v>245</v>
      </c>
      <c r="C38" s="1" t="s">
        <v>246</v>
      </c>
      <c r="D38" s="6">
        <v>11.652314646998505</v>
      </c>
      <c r="E38" s="6">
        <f>SUMIFS(Table1[Result for year],Table1[V1.0 standard Indicator reference],B38,Table1[Round],"10")+((SUMIFS(Table1[Target for full project],Table1[V1.0 standard Indicator reference],B38,Table1[Round],"11")-(SUMIFS(Table1[Result for year],Table1[V1.0 standard Indicator reference],B38,Table1[Round],"11"))/2))+SUMIFS(Table1[Result for year],Table1[V1.0 standard Indicator reference],B38,Table1[Round],"11")+((SUMIFS(Table1[Target for full project],Table1[V1.0 standard Indicator reference],B38,Table1[Round],"12")-(SUMIFS(Table1[Result for year],Table1[V1.0 standard Indicator reference],B38,Table1[Round],"12"))/2))+SUMIFS(Table1[Result for year],Table1[V1.0 standard Indicator reference],B38,Table1[Round],"12")</f>
        <v>77</v>
      </c>
    </row>
    <row r="39" spans="2:5" ht="14.25" customHeight="1" x14ac:dyDescent="0.2">
      <c r="B39" s="1" t="s">
        <v>247</v>
      </c>
      <c r="C39" s="1" t="s">
        <v>248</v>
      </c>
      <c r="D39" s="6">
        <v>686.80113389955898</v>
      </c>
      <c r="E39" s="6">
        <f>SUMIFS(Table1[Result for year],Table1[V1.0 standard Indicator reference],B39,Table1[Round],"10")+((SUMIFS(Table1[Target for full project],Table1[V1.0 standard Indicator reference],B39,Table1[Round],"11")-(SUMIFS(Table1[Result for year],Table1[V1.0 standard Indicator reference],B39,Table1[Round],"11"))/2))+SUMIFS(Table1[Result for year],Table1[V1.0 standard Indicator reference],B39,Table1[Round],"11")+((SUMIFS(Table1[Target for full project],Table1[V1.0 standard Indicator reference],B39,Table1[Round],"12")-(SUMIFS(Table1[Result for year],Table1[V1.0 standard Indicator reference],B39,Table1[Round],"12"))/2))+SUMIFS(Table1[Result for year],Table1[V1.0 standard Indicator reference],B39,Table1[Round],"12")</f>
        <v>10</v>
      </c>
    </row>
    <row r="40" spans="2:5" ht="14.25" customHeight="1" x14ac:dyDescent="0.2">
      <c r="B40" s="1" t="s">
        <v>250</v>
      </c>
      <c r="C40" s="1" t="s">
        <v>251</v>
      </c>
      <c r="D40" s="6">
        <v>6.6258259757442497</v>
      </c>
      <c r="E40" s="6">
        <f>SUMIFS(Table1[Result for year],Table1[V1.0 standard Indicator reference],B40,Table1[Round],"10")+((SUMIFS(Table1[Target for full project],Table1[V1.0 standard Indicator reference],B40,Table1[Round],"11")-(SUMIFS(Table1[Result for year],Table1[V1.0 standard Indicator reference],B40,Table1[Round],"11"))/2))+SUMIFS(Table1[Result for year],Table1[V1.0 standard Indicator reference],B40,Table1[Round],"11")+((SUMIFS(Table1[Target for full project],Table1[V1.0 standard Indicator reference],B40,Table1[Round],"12")-(SUMIFS(Table1[Result for year],Table1[V1.0 standard Indicator reference],B40,Table1[Round],"12"))/2))+SUMIFS(Table1[Result for year],Table1[V1.0 standard Indicator reference],B40,Table1[Round],"12")</f>
        <v>8</v>
      </c>
    </row>
    <row r="41" spans="2:5" ht="14.25" customHeight="1" x14ac:dyDescent="0.2">
      <c r="B41" s="1" t="s">
        <v>252</v>
      </c>
      <c r="C41" s="1" t="s">
        <v>253</v>
      </c>
      <c r="D41" s="6">
        <v>0.45695351556856889</v>
      </c>
      <c r="E41" s="6">
        <f>SUMIFS(Table1[Result for year],Table1[V1.0 standard Indicator reference],B41,Table1[Round],"10")+((SUMIFS(Table1[Target for full project],Table1[V1.0 standard Indicator reference],B41,Table1[Round],"11")-(SUMIFS(Table1[Result for year],Table1[V1.0 standard Indicator reference],B41,Table1[Round],"11"))/2))+SUMIFS(Table1[Result for year],Table1[V1.0 standard Indicator reference],B41,Table1[Round],"11")+((SUMIFS(Table1[Target for full project],Table1[V1.0 standard Indicator reference],B41,Table1[Round],"12")-(SUMIFS(Table1[Result for year],Table1[V1.0 standard Indicator reference],B41,Table1[Round],"12"))/2))+SUMIFS(Table1[Result for year],Table1[V1.0 standard Indicator reference],B41,Table1[Round],"12")</f>
        <v>10</v>
      </c>
    </row>
    <row r="42" spans="2:5" ht="14.25" customHeight="1" x14ac:dyDescent="0.2">
      <c r="B42" s="1" t="s">
        <v>254</v>
      </c>
      <c r="C42" s="1" t="s">
        <v>255</v>
      </c>
      <c r="D42" s="6">
        <v>3.4271513667642663</v>
      </c>
      <c r="E42" s="6">
        <f>SUMIFS(Table1[Result for year],Table1[V1.0 standard Indicator reference],B42,Table1[Round],"10")+((SUMIFS(Table1[Target for full project],Table1[V1.0 standard Indicator reference],B42,Table1[Round],"11")-(SUMIFS(Table1[Result for year],Table1[V1.0 standard Indicator reference],B42,Table1[Round],"11"))/2))+SUMIFS(Table1[Result for year],Table1[V1.0 standard Indicator reference],B42,Table1[Round],"11")+((SUMIFS(Table1[Target for full project],Table1[V1.0 standard Indicator reference],B42,Table1[Round],"12")-(SUMIFS(Table1[Result for year],Table1[V1.0 standard Indicator reference],B42,Table1[Round],"12"))/2))+SUMIFS(Table1[Result for year],Table1[V1.0 standard Indicator reference],B42,Table1[Round],"12")</f>
        <v>21</v>
      </c>
    </row>
    <row r="43" spans="2:5" ht="14.25" customHeight="1" x14ac:dyDescent="0.2">
      <c r="B43" s="1" t="s">
        <v>257</v>
      </c>
      <c r="C43" s="1" t="s">
        <v>258</v>
      </c>
      <c r="D43" s="6">
        <v>208.14232634148314</v>
      </c>
      <c r="E43" s="6">
        <f>SUMIFS(Table1[Result for year],Table1[V1.0 standard Indicator reference],B43,Table1[Round],"10")+((SUMIFS(Table1[Target for full project],Table1[V1.0 standard Indicator reference],B43,Table1[Round],"11")-(SUMIFS(Table1[Result for year],Table1[V1.0 standard Indicator reference],B43,Table1[Round],"11"))/2))+SUMIFS(Table1[Result for year],Table1[V1.0 standard Indicator reference],B43,Table1[Round],"11")+((SUMIFS(Table1[Target for full project],Table1[V1.0 standard Indicator reference],B43,Table1[Round],"12")-(SUMIFS(Table1[Result for year],Table1[V1.0 standard Indicator reference],B43,Table1[Round],"12"))/2))+SUMIFS(Table1[Result for year],Table1[V1.0 standard Indicator reference],B43,Table1[Round],"12")</f>
        <v>323.214</v>
      </c>
    </row>
    <row r="44" spans="2:5" ht="14.25" customHeight="1" x14ac:dyDescent="0.2">
      <c r="B44" s="1" t="s">
        <v>259</v>
      </c>
      <c r="C44" s="1" t="s">
        <v>260</v>
      </c>
      <c r="D44" s="6">
        <v>0</v>
      </c>
      <c r="E44" s="6">
        <f>SUMIFS(Table1[Result for year],Table1[V1.0 standard Indicator reference],B44,Table1[Round],"10")+((SUMIFS(Table1[Target for full project],Table1[V1.0 standard Indicator reference],B44,Table1[Round],"11")-(SUMIFS(Table1[Result for year],Table1[V1.0 standard Indicator reference],B44,Table1[Round],"11"))/2))+SUMIFS(Table1[Result for year],Table1[V1.0 standard Indicator reference],B44,Table1[Round],"11")+((SUMIFS(Table1[Target for full project],Table1[V1.0 standard Indicator reference],B44,Table1[Round],"12")-(SUMIFS(Table1[Result for year],Table1[V1.0 standard Indicator reference],B44,Table1[Round],"12"))/2))+SUMIFS(Table1[Result for year],Table1[V1.0 standard Indicator reference],B44,Table1[Round],"12")</f>
        <v>4900</v>
      </c>
    </row>
    <row r="45" spans="2:5" ht="14.25" customHeight="1" x14ac:dyDescent="0.2">
      <c r="B45" s="1" t="s">
        <v>261</v>
      </c>
      <c r="C45" s="1" t="s">
        <v>262</v>
      </c>
      <c r="D45" s="6">
        <v>0.68543027335285323</v>
      </c>
      <c r="E45" s="6">
        <f>SUMIFS(Table1[Result for year],Table1[V1.0 standard Indicator reference],B45,Table1[Round],"10")+((SUMIFS(Table1[Target for full project],Table1[V1.0 standard Indicator reference],B45,Table1[Round],"11")-(SUMIFS(Table1[Result for year],Table1[V1.0 standard Indicator reference],B45,Table1[Round],"11"))/2))+SUMIFS(Table1[Result for year],Table1[V1.0 standard Indicator reference],B45,Table1[Round],"11")+((SUMIFS(Table1[Target for full project],Table1[V1.0 standard Indicator reference],B45,Table1[Round],"12")-(SUMIFS(Table1[Result for year],Table1[V1.0 standard Indicator reference],B45,Table1[Round],"12"))/2))+SUMIFS(Table1[Result for year],Table1[V1.0 standard Indicator reference],B45,Table1[Round],"12")</f>
        <v>6</v>
      </c>
    </row>
    <row r="46" spans="2:5" ht="14.25" customHeight="1" x14ac:dyDescent="0.2">
      <c r="B46" s="1" t="s">
        <v>263</v>
      </c>
      <c r="C46" s="1" t="s">
        <v>264</v>
      </c>
      <c r="D46" s="6">
        <v>0</v>
      </c>
      <c r="E46" s="6">
        <f>SUMIFS(Table1[Result for year],Table1[V1.0 standard Indicator reference],B46,Table1[Round],"10")+((SUMIFS(Table1[Target for full project],Table1[V1.0 standard Indicator reference],B46,Table1[Round],"11")-(SUMIFS(Table1[Result for year],Table1[V1.0 standard Indicator reference],B46,Table1[Round],"11"))/2))+SUMIFS(Table1[Result for year],Table1[V1.0 standard Indicator reference],B46,Table1[Round],"11")+((SUMIFS(Table1[Target for full project],Table1[V1.0 standard Indicator reference],B46,Table1[Round],"12")-(SUMIFS(Table1[Result for year],Table1[V1.0 standard Indicator reference],B46,Table1[Round],"12"))/2))+SUMIFS(Table1[Result for year],Table1[V1.0 standard Indicator reference],B46,Table1[Round],"12")</f>
        <v>30</v>
      </c>
    </row>
    <row r="47" spans="2:5" ht="14.25" customHeight="1" x14ac:dyDescent="0.2">
      <c r="B47" s="1" t="s">
        <v>265</v>
      </c>
      <c r="C47" s="1" t="s">
        <v>266</v>
      </c>
      <c r="D47" s="6">
        <v>0</v>
      </c>
      <c r="E47" s="6">
        <f>SUMIFS(Table1[Result for year],Table1[V1.0 standard Indicator reference],B47,Table1[Round],"10")+((SUMIFS(Table1[Target for full project],Table1[V1.0 standard Indicator reference],B47,Table1[Round],"11")-(SUMIFS(Table1[Result for year],Table1[V1.0 standard Indicator reference],B47,Table1[Round],"11"))/2))+SUMIFS(Table1[Result for year],Table1[V1.0 standard Indicator reference],B47,Table1[Round],"11")+((SUMIFS(Table1[Target for full project],Table1[V1.0 standard Indicator reference],B47,Table1[Round],"12")-(SUMIFS(Table1[Result for year],Table1[V1.0 standard Indicator reference],B47,Table1[Round],"12"))/2))+SUMIFS(Table1[Result for year],Table1[V1.0 standard Indicator reference],B47,Table1[Round],"12")</f>
        <v>0</v>
      </c>
    </row>
    <row r="48" spans="2:5" ht="14.25" customHeight="1" x14ac:dyDescent="0.2">
      <c r="B48" s="1" t="s">
        <v>267</v>
      </c>
      <c r="C48" s="1" t="s">
        <v>268</v>
      </c>
      <c r="D48" s="6">
        <v>0</v>
      </c>
      <c r="E48" s="6">
        <f>SUMIFS(Table1[Result for year],Table1[V1.0 standard Indicator reference],B48,Table1[Round],"10")+((SUMIFS(Table1[Target for full project],Table1[V1.0 standard Indicator reference],B48,Table1[Round],"11")-(SUMIFS(Table1[Result for year],Table1[V1.0 standard Indicator reference],B48,Table1[Round],"11"))/2))+SUMIFS(Table1[Result for year],Table1[V1.0 standard Indicator reference],B48,Table1[Round],"11")+((SUMIFS(Table1[Target for full project],Table1[V1.0 standard Indicator reference],B48,Table1[Round],"12")-(SUMIFS(Table1[Result for year],Table1[V1.0 standard Indicator reference],B48,Table1[Round],"12"))/2))+SUMIFS(Table1[Result for year],Table1[V1.0 standard Indicator reference],B48,Table1[Round],"12")</f>
        <v>0</v>
      </c>
    </row>
    <row r="49" spans="2:5" ht="14.25" customHeight="1" x14ac:dyDescent="0.2">
      <c r="B49" s="1" t="s">
        <v>269</v>
      </c>
      <c r="C49" s="1" t="s">
        <v>270</v>
      </c>
      <c r="D49" s="6">
        <v>0</v>
      </c>
      <c r="E49" s="6">
        <f>SUMIFS(Table1[Result for year],Table1[V1.0 standard Indicator reference],B49,Table1[Round],"10")+((SUMIFS(Table1[Target for full project],Table1[V1.0 standard Indicator reference],B49,Table1[Round],"11")-(SUMIFS(Table1[Result for year],Table1[V1.0 standard Indicator reference],B49,Table1[Round],"11"))/2))+SUMIFS(Table1[Result for year],Table1[V1.0 standard Indicator reference],B49,Table1[Round],"11")+((SUMIFS(Table1[Target for full project],Table1[V1.0 standard Indicator reference],B49,Table1[Round],"12")-(SUMIFS(Table1[Result for year],Table1[V1.0 standard Indicator reference],B49,Table1[Round],"12"))/2))+SUMIFS(Table1[Result for year],Table1[V1.0 standard Indicator reference],B49,Table1[Round],"12")</f>
        <v>0</v>
      </c>
    </row>
    <row r="50" spans="2:5" ht="14.25" customHeight="1" x14ac:dyDescent="0.2">
      <c r="B50" s="1" t="s">
        <v>271</v>
      </c>
      <c r="C50" s="1" t="s">
        <v>272</v>
      </c>
      <c r="D50" s="6">
        <v>0</v>
      </c>
      <c r="E50" s="6">
        <f>SUMIFS(Table1[Result for year],Table1[V1.0 standard Indicator reference],B50,Table1[Round],"10")+((SUMIFS(Table1[Target for full project],Table1[V1.0 standard Indicator reference],B50,Table1[Round],"11")-(SUMIFS(Table1[Result for year],Table1[V1.0 standard Indicator reference],B50,Table1[Round],"11"))/2))+SUMIFS(Table1[Result for year],Table1[V1.0 standard Indicator reference],B50,Table1[Round],"11")+((SUMIFS(Table1[Target for full project],Table1[V1.0 standard Indicator reference],B50,Table1[Round],"12")-(SUMIFS(Table1[Result for year],Table1[V1.0 standard Indicator reference],B50,Table1[Round],"12"))/2))+SUMIFS(Table1[Result for year],Table1[V1.0 standard Indicator reference],B50,Table1[Round],"12")</f>
        <v>0</v>
      </c>
    </row>
    <row r="51" spans="2:5" ht="14.25" customHeight="1" x14ac:dyDescent="0.2">
      <c r="B51" s="1" t="s">
        <v>273</v>
      </c>
      <c r="C51" s="1" t="s">
        <v>274</v>
      </c>
      <c r="D51" s="6">
        <v>0</v>
      </c>
      <c r="E51" s="6">
        <f>SUMIFS(Table1[Result for year],Table1[V1.0 standard Indicator reference],B51,Table1[Round],"10")+((SUMIFS(Table1[Target for full project],Table1[V1.0 standard Indicator reference],B51,Table1[Round],"11")-(SUMIFS(Table1[Result for year],Table1[V1.0 standard Indicator reference],B51,Table1[Round],"11"))/2))+SUMIFS(Table1[Result for year],Table1[V1.0 standard Indicator reference],B51,Table1[Round],"11")+((SUMIFS(Table1[Target for full project],Table1[V1.0 standard Indicator reference],B51,Table1[Round],"12")-(SUMIFS(Table1[Result for year],Table1[V1.0 standard Indicator reference],B51,Table1[Round],"12"))/2))+SUMIFS(Table1[Result for year],Table1[V1.0 standard Indicator reference],B51,Table1[Round],"12")</f>
        <v>0</v>
      </c>
    </row>
    <row r="52" spans="2:5" ht="14.25" customHeight="1" x14ac:dyDescent="0.2">
      <c r="B52" s="1" t="s">
        <v>275</v>
      </c>
      <c r="C52" s="1" t="s">
        <v>276</v>
      </c>
      <c r="D52" s="6">
        <v>0</v>
      </c>
      <c r="E52" s="6">
        <f>SUMIFS(Table1[Result for year],Table1[V1.0 standard Indicator reference],B52,Table1[Round],"10")+((SUMIFS(Table1[Target for full project],Table1[V1.0 standard Indicator reference],B52,Table1[Round],"11")-(SUMIFS(Table1[Result for year],Table1[V1.0 standard Indicator reference],B52,Table1[Round],"11"))/2))+SUMIFS(Table1[Result for year],Table1[V1.0 standard Indicator reference],B52,Table1[Round],"11")+((SUMIFS(Table1[Target for full project],Table1[V1.0 standard Indicator reference],B52,Table1[Round],"12")-(SUMIFS(Table1[Result for year],Table1[V1.0 standard Indicator reference],B52,Table1[Round],"12"))/2))+SUMIFS(Table1[Result for year],Table1[V1.0 standard Indicator reference],B52,Table1[Round],"12")</f>
        <v>0</v>
      </c>
    </row>
    <row r="53" spans="2:5" ht="14.25" customHeight="1" x14ac:dyDescent="0.2">
      <c r="B53" s="1" t="s">
        <v>277</v>
      </c>
      <c r="C53" s="1" t="s">
        <v>278</v>
      </c>
      <c r="D53" s="6">
        <v>0</v>
      </c>
      <c r="E53" s="6">
        <f>SUMIFS(Table1[Result for year],Table1[V1.0 standard Indicator reference],B53,Table1[Round],"10")+((SUMIFS(Table1[Target for full project],Table1[V1.0 standard Indicator reference],B53,Table1[Round],"11")-(SUMIFS(Table1[Result for year],Table1[V1.0 standard Indicator reference],B53,Table1[Round],"11"))/2))+SUMIFS(Table1[Result for year],Table1[V1.0 standard Indicator reference],B53,Table1[Round],"11")+((SUMIFS(Table1[Target for full project],Table1[V1.0 standard Indicator reference],B53,Table1[Round],"12")-(SUMIFS(Table1[Result for year],Table1[V1.0 standard Indicator reference],B53,Table1[Round],"12"))/2))+SUMIFS(Table1[Result for year],Table1[V1.0 standard Indicator reference],B53,Table1[Round],"12")</f>
        <v>21</v>
      </c>
    </row>
    <row r="54" spans="2:5" ht="14.25" customHeight="1" x14ac:dyDescent="0.2">
      <c r="B54" s="1" t="s">
        <v>279</v>
      </c>
      <c r="C54" s="1" t="s">
        <v>280</v>
      </c>
      <c r="D54" s="6">
        <v>0.37013234761054076</v>
      </c>
      <c r="E54" s="6">
        <f>SUMIFS(Table1[Result for year],Table1[V1.0 standard Indicator reference],B54,Table1[Round],"10")+((SUMIFS(Table1[Target for full project],Table1[V1.0 standard Indicator reference],B54,Table1[Round],"11")-(SUMIFS(Table1[Result for year],Table1[V1.0 standard Indicator reference],B54,Table1[Round],"11"))/2))+SUMIFS(Table1[Result for year],Table1[V1.0 standard Indicator reference],B54,Table1[Round],"11")+((SUMIFS(Table1[Target for full project],Table1[V1.0 standard Indicator reference],B54,Table1[Round],"12")-(SUMIFS(Table1[Result for year],Table1[V1.0 standard Indicator reference],B54,Table1[Round],"12"))/2))+SUMIFS(Table1[Result for year],Table1[V1.0 standard Indicator reference],B54,Table1[Round],"12")</f>
        <v>10</v>
      </c>
    </row>
    <row r="55" spans="2:5" ht="14.25" customHeight="1" x14ac:dyDescent="0.2">
      <c r="B55" s="1" t="s">
        <v>281</v>
      </c>
      <c r="C55" s="1" t="s">
        <v>282</v>
      </c>
      <c r="D55" s="6">
        <v>0</v>
      </c>
      <c r="E55" s="6">
        <f>SUMIFS(Table1[Result for year],Table1[V1.0 standard Indicator reference],B55,Table1[Round],"10")+((SUMIFS(Table1[Target for full project],Table1[V1.0 standard Indicator reference],B55,Table1[Round],"11")-(SUMIFS(Table1[Result for year],Table1[V1.0 standard Indicator reference],B55,Table1[Round],"11"))/2))+SUMIFS(Table1[Result for year],Table1[V1.0 standard Indicator reference],B55,Table1[Round],"11")+((SUMIFS(Table1[Target for full project],Table1[V1.0 standard Indicator reference],B55,Table1[Round],"12")-(SUMIFS(Table1[Result for year],Table1[V1.0 standard Indicator reference],B55,Table1[Round],"12"))/2))+SUMIFS(Table1[Result for year],Table1[V1.0 standard Indicator reference],B55,Table1[Round],"12")</f>
        <v>0</v>
      </c>
    </row>
    <row r="56" spans="2:5" ht="14.25" customHeight="1" x14ac:dyDescent="0.2">
      <c r="B56" s="1" t="s">
        <v>283</v>
      </c>
      <c r="C56" s="1" t="s">
        <v>284</v>
      </c>
      <c r="D56" s="6">
        <v>0</v>
      </c>
      <c r="E56" s="6">
        <f>SUMIFS(Table1[Result for year],Table1[V1.0 standard Indicator reference],B56,Table1[Round],"10")+((SUMIFS(Table1[Target for full project],Table1[V1.0 standard Indicator reference],B56,Table1[Round],"11")-(SUMIFS(Table1[Result for year],Table1[V1.0 standard Indicator reference],B56,Table1[Round],"11"))/2))+SUMIFS(Table1[Result for year],Table1[V1.0 standard Indicator reference],B56,Table1[Round],"11")+((SUMIFS(Table1[Target for full project],Table1[V1.0 standard Indicator reference],B56,Table1[Round],"12")-(SUMIFS(Table1[Result for year],Table1[V1.0 standard Indicator reference],B56,Table1[Round],"12"))/2))+SUMIFS(Table1[Result for year],Table1[V1.0 standard Indicator reference],B56,Table1[Round],"12")</f>
        <v>0</v>
      </c>
    </row>
    <row r="57" spans="2:5" ht="14.25" customHeight="1" x14ac:dyDescent="0.2">
      <c r="B57" s="1" t="s">
        <v>285</v>
      </c>
      <c r="C57" s="1" t="s">
        <v>286</v>
      </c>
      <c r="D57" s="6">
        <v>0</v>
      </c>
      <c r="E57" s="6">
        <f>SUMIFS(Table1[Result for year],Table1[V1.0 standard Indicator reference],B57,Table1[Round],"10")+((SUMIFS(Table1[Target for full project],Table1[V1.0 standard Indicator reference],B57,Table1[Round],"11")-(SUMIFS(Table1[Result for year],Table1[V1.0 standard Indicator reference],B57,Table1[Round],"11"))/2))+SUMIFS(Table1[Result for year],Table1[V1.0 standard Indicator reference],B57,Table1[Round],"11")+((SUMIFS(Table1[Target for full project],Table1[V1.0 standard Indicator reference],B57,Table1[Round],"12")-(SUMIFS(Table1[Result for year],Table1[V1.0 standard Indicator reference],B57,Table1[Round],"12"))/2))+SUMIFS(Table1[Result for year],Table1[V1.0 standard Indicator reference],B57,Table1[Round],"12")</f>
        <v>0</v>
      </c>
    </row>
    <row r="58" spans="2:5" ht="14.25" customHeight="1" x14ac:dyDescent="0.2">
      <c r="B58" s="1" t="s">
        <v>287</v>
      </c>
      <c r="C58" s="1" t="s">
        <v>288</v>
      </c>
      <c r="D58" s="6">
        <v>0</v>
      </c>
      <c r="E58" s="6">
        <f>SUMIFS(Table1[Result for year],Table1[V1.0 standard Indicator reference],B58,Table1[Round],"10")+((SUMIFS(Table1[Target for full project],Table1[V1.0 standard Indicator reference],B58,Table1[Round],"11")-(SUMIFS(Table1[Result for year],Table1[V1.0 standard Indicator reference],B58,Table1[Round],"11"))/2))+SUMIFS(Table1[Result for year],Table1[V1.0 standard Indicator reference],B58,Table1[Round],"11")+((SUMIFS(Table1[Target for full project],Table1[V1.0 standard Indicator reference],B58,Table1[Round],"12")-(SUMIFS(Table1[Result for year],Table1[V1.0 standard Indicator reference],B58,Table1[Round],"12"))/2))+SUMIFS(Table1[Result for year],Table1[V1.0 standard Indicator reference],B58,Table1[Round],"12")</f>
        <v>5</v>
      </c>
    </row>
    <row r="59" spans="2:5" ht="14.25" customHeight="1" x14ac:dyDescent="0.2">
      <c r="B59" s="1" t="s">
        <v>290</v>
      </c>
      <c r="C59" s="1" t="s">
        <v>291</v>
      </c>
      <c r="D59" s="6">
        <v>0</v>
      </c>
      <c r="E59" s="6">
        <f>SUMIFS(Table1[Result for year],Table1[V1.0 standard Indicator reference],B59,Table1[Round],"10")+((SUMIFS(Table1[Target for full project],Table1[V1.0 standard Indicator reference],B59,Table1[Round],"11")-(SUMIFS(Table1[Result for year],Table1[V1.0 standard Indicator reference],B59,Table1[Round],"11"))/2))+SUMIFS(Table1[Result for year],Table1[V1.0 standard Indicator reference],B59,Table1[Round],"11")+((SUMIFS(Table1[Target for full project],Table1[V1.0 standard Indicator reference],B59,Table1[Round],"12")-(SUMIFS(Table1[Result for year],Table1[V1.0 standard Indicator reference],B59,Table1[Round],"12"))/2))+SUMIFS(Table1[Result for year],Table1[V1.0 standard Indicator reference],B59,Table1[Round],"12")</f>
        <v>0</v>
      </c>
    </row>
    <row r="60" spans="2:5" ht="14.25" customHeight="1" x14ac:dyDescent="0.2">
      <c r="B60" s="1" t="s">
        <v>292</v>
      </c>
      <c r="C60" s="1" t="s">
        <v>293</v>
      </c>
      <c r="D60" s="6">
        <v>0</v>
      </c>
      <c r="E60" s="6">
        <f>SUMIFS(Table1[Result for year],Table1[V1.0 standard Indicator reference],B60,Table1[Round],"10")+((SUMIFS(Table1[Target for full project],Table1[V1.0 standard Indicator reference],B60,Table1[Round],"11")-(SUMIFS(Table1[Result for year],Table1[V1.0 standard Indicator reference],B60,Table1[Round],"11"))/2))+SUMIFS(Table1[Result for year],Table1[V1.0 standard Indicator reference],B60,Table1[Round],"11")+((SUMIFS(Table1[Target for full project],Table1[V1.0 standard Indicator reference],B60,Table1[Round],"12")-(SUMIFS(Table1[Result for year],Table1[V1.0 standard Indicator reference],B60,Table1[Round],"12"))/2))+SUMIFS(Table1[Result for year],Table1[V1.0 standard Indicator reference],B60,Table1[Round],"12")</f>
        <v>0</v>
      </c>
    </row>
    <row r="61" spans="2:5" ht="14.25" customHeight="1" x14ac:dyDescent="0.2">
      <c r="B61" s="1" t="s">
        <v>294</v>
      </c>
      <c r="C61" s="1" t="s">
        <v>295</v>
      </c>
      <c r="D61" s="6">
        <v>0</v>
      </c>
      <c r="E61" s="6">
        <f>SUMIFS(Table1[Result for year],Table1[V1.0 standard Indicator reference],B61,Table1[Round],"10")+((SUMIFS(Table1[Target for full project],Table1[V1.0 standard Indicator reference],B61,Table1[Round],"11")-(SUMIFS(Table1[Result for year],Table1[V1.0 standard Indicator reference],B61,Table1[Round],"11"))/2))+SUMIFS(Table1[Result for year],Table1[V1.0 standard Indicator reference],B61,Table1[Round],"11")+((SUMIFS(Table1[Target for full project],Table1[V1.0 standard Indicator reference],B61,Table1[Round],"12")-(SUMIFS(Table1[Result for year],Table1[V1.0 standard Indicator reference],B61,Table1[Round],"12"))/2))+SUMIFS(Table1[Result for year],Table1[V1.0 standard Indicator reference],B61,Table1[Round],"12")</f>
        <v>3</v>
      </c>
    </row>
  </sheetData>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4916-3E35-43E9-A5DE-6007C9649B01}">
  <sheetPr>
    <tabColor theme="0" tint="-0.499984740745262"/>
  </sheetPr>
  <dimension ref="B2:E24"/>
  <sheetViews>
    <sheetView showRuler="0" zoomScaleNormal="100" zoomScaleSheetLayoutView="400" zoomScalePageLayoutView="90" workbookViewId="0">
      <selection activeCell="E21" sqref="E21"/>
    </sheetView>
  </sheetViews>
  <sheetFormatPr defaultColWidth="9.28515625" defaultRowHeight="14.25" customHeight="1" x14ac:dyDescent="0.2"/>
  <cols>
    <col min="1" max="1" width="9.28515625" style="1"/>
    <col min="2" max="2" width="17.42578125" style="1" customWidth="1"/>
    <col min="3" max="3" width="14.140625" style="1" customWidth="1"/>
    <col min="4" max="4" width="50.5703125" style="1" customWidth="1"/>
    <col min="5" max="5" width="73.28515625" style="1" customWidth="1"/>
    <col min="6" max="16384" width="9.28515625" style="1"/>
  </cols>
  <sheetData>
    <row r="2" spans="2:5" ht="28.5" customHeight="1" x14ac:dyDescent="0.2">
      <c r="B2" s="390" t="s">
        <v>441</v>
      </c>
      <c r="C2" s="390"/>
      <c r="D2" s="390"/>
      <c r="E2" s="390"/>
    </row>
    <row r="3" spans="2:5" ht="27.6" customHeight="1" x14ac:dyDescent="0.2">
      <c r="B3" s="390" t="s">
        <v>442</v>
      </c>
      <c r="C3" s="390"/>
      <c r="D3" s="390"/>
      <c r="E3" s="390"/>
    </row>
    <row r="5" spans="2:5" ht="28.5" customHeight="1" x14ac:dyDescent="0.2">
      <c r="B5" s="312" t="s">
        <v>443</v>
      </c>
      <c r="C5" s="313" t="s">
        <v>444</v>
      </c>
      <c r="D5" s="313" t="s">
        <v>445</v>
      </c>
      <c r="E5" s="313" t="s">
        <v>446</v>
      </c>
    </row>
    <row r="6" spans="2:5" ht="39" customHeight="1" x14ac:dyDescent="0.2">
      <c r="B6" s="314">
        <v>8</v>
      </c>
      <c r="C6" s="315">
        <v>4</v>
      </c>
      <c r="D6" s="315" t="s">
        <v>447</v>
      </c>
      <c r="E6" s="316" t="s">
        <v>448</v>
      </c>
    </row>
    <row r="7" spans="2:5" ht="53.45" customHeight="1" x14ac:dyDescent="0.2">
      <c r="B7" s="314">
        <v>9</v>
      </c>
      <c r="C7" s="315">
        <v>3</v>
      </c>
      <c r="D7" s="316" t="s">
        <v>449</v>
      </c>
      <c r="E7" s="317" t="s">
        <v>450</v>
      </c>
    </row>
    <row r="8" spans="2:5" ht="29.1" customHeight="1" x14ac:dyDescent="0.2">
      <c r="B8" s="314">
        <v>10</v>
      </c>
      <c r="C8" s="315">
        <v>2</v>
      </c>
      <c r="D8" s="316" t="s">
        <v>451</v>
      </c>
      <c r="E8" s="317" t="s">
        <v>452</v>
      </c>
    </row>
    <row r="9" spans="2:5" ht="14.25" customHeight="1" x14ac:dyDescent="0.2">
      <c r="B9" s="314" t="s">
        <v>453</v>
      </c>
      <c r="C9" s="315">
        <v>1</v>
      </c>
      <c r="D9" s="315" t="s">
        <v>454</v>
      </c>
      <c r="E9" s="315" t="s">
        <v>455</v>
      </c>
    </row>
    <row r="10" spans="2:5" ht="38.450000000000003" customHeight="1" x14ac:dyDescent="0.2">
      <c r="B10" s="314" t="s">
        <v>456</v>
      </c>
      <c r="C10" s="318" t="s">
        <v>457</v>
      </c>
      <c r="D10" s="315" t="s">
        <v>458</v>
      </c>
      <c r="E10" s="316" t="s">
        <v>459</v>
      </c>
    </row>
    <row r="11" spans="2:5" ht="14.25" customHeight="1" x14ac:dyDescent="0.2">
      <c r="E11" s="319"/>
    </row>
    <row r="24" spans="4:4" ht="14.25" customHeight="1" x14ac:dyDescent="0.2">
      <c r="D24" s="86"/>
    </row>
  </sheetData>
  <mergeCells count="2">
    <mergeCell ref="B2:E2"/>
    <mergeCell ref="B3:E3"/>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6142-C328-4518-A047-45EF9E8C1EFC}">
  <sheetPr>
    <tabColor theme="0"/>
  </sheetPr>
  <dimension ref="A1:Y40"/>
  <sheetViews>
    <sheetView showRuler="0" zoomScaleNormal="100" zoomScaleSheetLayoutView="400" zoomScalePageLayoutView="90" workbookViewId="0">
      <selection activeCell="V18" sqref="V18"/>
    </sheetView>
  </sheetViews>
  <sheetFormatPr defaultColWidth="9.28515625" defaultRowHeight="14.25" customHeight="1" x14ac:dyDescent="0.2"/>
  <cols>
    <col min="1" max="1" width="6.42578125" style="1" customWidth="1"/>
    <col min="2" max="16384" width="9.28515625" style="1"/>
  </cols>
  <sheetData>
    <row r="1" spans="1:25" ht="14.25" customHeight="1" x14ac:dyDescent="0.2">
      <c r="A1" s="79"/>
      <c r="B1" s="79"/>
      <c r="C1" s="79"/>
      <c r="D1" s="79"/>
      <c r="E1" s="79"/>
      <c r="F1" s="79"/>
      <c r="G1" s="79"/>
      <c r="H1" s="79"/>
      <c r="I1" s="79"/>
      <c r="J1" s="79"/>
      <c r="K1" s="79"/>
      <c r="L1" s="79"/>
      <c r="M1" s="79"/>
      <c r="N1" s="79"/>
      <c r="O1" s="79"/>
      <c r="P1" s="79"/>
      <c r="Q1" s="79"/>
      <c r="R1" s="79"/>
      <c r="S1" s="79"/>
      <c r="T1" s="79"/>
      <c r="U1" s="79"/>
      <c r="V1" s="79"/>
      <c r="W1" s="79"/>
      <c r="X1" s="79"/>
      <c r="Y1" s="79"/>
    </row>
    <row r="2" spans="1:25" ht="14.25" customHeight="1" x14ac:dyDescent="0.2">
      <c r="A2" s="79"/>
      <c r="B2" s="82" t="s">
        <v>460</v>
      </c>
      <c r="C2" s="99"/>
      <c r="D2" s="99"/>
      <c r="E2" s="99"/>
      <c r="F2" s="99"/>
      <c r="G2" s="99"/>
      <c r="H2" s="99"/>
      <c r="I2" s="99"/>
      <c r="J2" s="99"/>
      <c r="K2" s="99"/>
      <c r="L2" s="79"/>
      <c r="M2" s="79"/>
      <c r="N2" s="79"/>
      <c r="O2" s="79"/>
      <c r="P2" s="79"/>
      <c r="Q2" s="79"/>
      <c r="R2" s="79"/>
      <c r="S2" s="79"/>
      <c r="T2" s="79"/>
      <c r="U2" s="79"/>
      <c r="V2" s="79"/>
      <c r="W2" s="79"/>
      <c r="X2" s="79"/>
      <c r="Y2" s="79"/>
    </row>
    <row r="3" spans="1:25" ht="14.25" customHeight="1" x14ac:dyDescent="0.2">
      <c r="A3" s="79"/>
      <c r="B3" s="79" t="s">
        <v>461</v>
      </c>
      <c r="C3" s="79" t="s">
        <v>462</v>
      </c>
      <c r="D3" s="79"/>
      <c r="E3" s="79"/>
      <c r="F3" s="79"/>
      <c r="G3" s="79"/>
      <c r="H3" s="79"/>
      <c r="I3" s="79"/>
      <c r="J3" s="79"/>
      <c r="K3" s="79"/>
      <c r="L3" s="79"/>
      <c r="M3" s="79"/>
      <c r="N3" s="79"/>
      <c r="O3" s="79"/>
      <c r="P3" s="79"/>
      <c r="Q3" s="79"/>
      <c r="R3" s="79"/>
      <c r="S3" s="79"/>
      <c r="T3" s="79"/>
      <c r="U3" s="79"/>
      <c r="V3" s="79"/>
      <c r="W3" s="79"/>
      <c r="X3" s="79"/>
      <c r="Y3" s="79"/>
    </row>
    <row r="4" spans="1:25" ht="14.25" customHeight="1" x14ac:dyDescent="0.2">
      <c r="A4" s="79"/>
      <c r="B4" s="79" t="s">
        <v>463</v>
      </c>
      <c r="C4" s="79" t="s">
        <v>464</v>
      </c>
      <c r="D4" s="79"/>
      <c r="E4" s="79"/>
      <c r="F4" s="79"/>
      <c r="G4" s="79"/>
      <c r="H4" s="79"/>
      <c r="I4" s="79"/>
      <c r="J4" s="79"/>
      <c r="K4" s="79"/>
      <c r="L4" s="79"/>
      <c r="M4" s="79"/>
      <c r="N4" s="79"/>
      <c r="O4" s="79"/>
      <c r="P4" s="79"/>
      <c r="Q4" s="79"/>
      <c r="R4" s="79"/>
      <c r="S4" s="79"/>
      <c r="T4" s="79"/>
      <c r="U4" s="79"/>
      <c r="V4" s="79"/>
      <c r="W4" s="79"/>
      <c r="X4" s="79"/>
      <c r="Y4" s="79"/>
    </row>
    <row r="5" spans="1:25" ht="14.25" customHeight="1" x14ac:dyDescent="0.2">
      <c r="A5" s="79"/>
      <c r="B5" s="79" t="s">
        <v>465</v>
      </c>
      <c r="C5" s="79" t="s">
        <v>466</v>
      </c>
      <c r="D5" s="79"/>
      <c r="E5" s="79"/>
      <c r="F5" s="79"/>
      <c r="G5" s="79"/>
      <c r="H5" s="79"/>
      <c r="I5" s="79"/>
      <c r="J5" s="79"/>
      <c r="K5" s="79"/>
      <c r="L5" s="79"/>
      <c r="M5" s="79"/>
      <c r="N5" s="79"/>
      <c r="O5" s="79"/>
      <c r="P5" s="79"/>
      <c r="Q5" s="79"/>
      <c r="R5" s="79"/>
      <c r="S5" s="79"/>
      <c r="T5" s="79"/>
      <c r="U5" s="79"/>
      <c r="V5" s="79"/>
      <c r="W5" s="79"/>
      <c r="X5" s="79"/>
      <c r="Y5" s="79"/>
    </row>
    <row r="6" spans="1:25" ht="14.25" customHeight="1" x14ac:dyDescent="0.2">
      <c r="A6" s="79"/>
      <c r="B6" s="79"/>
      <c r="C6" s="79"/>
      <c r="D6" s="79"/>
      <c r="E6" s="79"/>
      <c r="F6" s="79"/>
      <c r="G6" s="79"/>
      <c r="H6" s="79"/>
      <c r="I6" s="79"/>
      <c r="J6" s="79"/>
      <c r="K6" s="79"/>
      <c r="L6" s="79"/>
      <c r="M6" s="79"/>
      <c r="N6" s="79"/>
      <c r="O6" s="79"/>
      <c r="P6" s="79"/>
      <c r="Q6" s="79"/>
      <c r="R6" s="79"/>
      <c r="S6" s="79"/>
      <c r="T6" s="79"/>
      <c r="U6" s="79"/>
      <c r="V6" s="79"/>
      <c r="W6" s="79"/>
      <c r="X6" s="79"/>
      <c r="Y6" s="79"/>
    </row>
    <row r="7" spans="1:25" ht="14.25"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row>
    <row r="8" spans="1:25" ht="14.25"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row>
    <row r="9" spans="1:25" ht="14.25"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row>
    <row r="10" spans="1:25" ht="14.25" customHeight="1" x14ac:dyDescent="0.2">
      <c r="A10" s="79"/>
      <c r="B10" s="79"/>
      <c r="C10" s="79"/>
      <c r="D10" s="79"/>
      <c r="E10" s="79"/>
      <c r="F10" s="79"/>
      <c r="G10" s="79"/>
      <c r="H10" s="79"/>
      <c r="I10" s="79"/>
      <c r="J10" s="79"/>
      <c r="K10" s="79"/>
      <c r="L10" s="79"/>
      <c r="M10" s="79"/>
      <c r="N10" s="79"/>
      <c r="O10" s="79"/>
      <c r="P10" s="79"/>
      <c r="Q10" s="79"/>
      <c r="R10" s="79"/>
      <c r="S10" s="79"/>
      <c r="T10" s="79"/>
      <c r="U10" s="79"/>
      <c r="V10" s="79"/>
      <c r="W10" s="79"/>
      <c r="X10" s="79"/>
      <c r="Y10" s="79"/>
    </row>
    <row r="11" spans="1:25" ht="14.25" customHeight="1" x14ac:dyDescent="0.2">
      <c r="A11" s="79"/>
      <c r="B11" s="79"/>
      <c r="C11" s="79"/>
      <c r="D11" s="79"/>
      <c r="E11" s="79"/>
      <c r="F11" s="79"/>
      <c r="G11" s="79"/>
      <c r="H11" s="79"/>
      <c r="I11" s="79"/>
      <c r="J11" s="79"/>
      <c r="K11" s="79"/>
      <c r="L11" s="79"/>
      <c r="M11" s="79"/>
      <c r="N11" s="79"/>
      <c r="O11" s="79"/>
      <c r="P11" s="79"/>
      <c r="Q11" s="79"/>
      <c r="R11" s="79"/>
      <c r="S11" s="79"/>
      <c r="T11" s="79"/>
      <c r="U11" s="79"/>
      <c r="V11" s="79"/>
      <c r="W11" s="79"/>
      <c r="X11" s="79"/>
      <c r="Y11" s="79"/>
    </row>
    <row r="12" spans="1:25" ht="14.25" customHeight="1" x14ac:dyDescent="0.2">
      <c r="A12" s="79"/>
      <c r="B12" s="79"/>
      <c r="C12" s="79"/>
      <c r="D12" s="79"/>
      <c r="E12" s="79"/>
      <c r="F12" s="79"/>
      <c r="G12" s="79"/>
      <c r="H12" s="79"/>
      <c r="I12" s="79"/>
      <c r="J12" s="79"/>
      <c r="K12" s="79"/>
      <c r="L12" s="79"/>
      <c r="M12" s="79"/>
      <c r="N12" s="79"/>
      <c r="O12" s="79"/>
      <c r="P12" s="79"/>
      <c r="Q12" s="79"/>
      <c r="R12" s="79"/>
      <c r="S12" s="79"/>
      <c r="T12" s="79"/>
      <c r="U12" s="79"/>
      <c r="V12" s="79"/>
      <c r="W12" s="79"/>
      <c r="X12" s="79"/>
      <c r="Y12" s="79"/>
    </row>
    <row r="13" spans="1:25" ht="14.25" customHeight="1" x14ac:dyDescent="0.2">
      <c r="A13" s="79"/>
      <c r="B13" s="79"/>
      <c r="C13" s="79"/>
      <c r="D13" s="79"/>
      <c r="E13" s="79"/>
      <c r="F13" s="79"/>
      <c r="G13" s="79"/>
      <c r="H13" s="79"/>
      <c r="I13" s="79"/>
      <c r="J13" s="79"/>
      <c r="K13" s="79"/>
      <c r="L13" s="79"/>
      <c r="M13" s="79"/>
      <c r="N13" s="79"/>
      <c r="O13" s="79"/>
      <c r="P13" s="79"/>
      <c r="Q13" s="79"/>
      <c r="R13" s="79"/>
      <c r="S13" s="79"/>
      <c r="T13" s="79"/>
      <c r="U13" s="79"/>
      <c r="V13" s="79"/>
      <c r="W13" s="79"/>
      <c r="X13" s="79"/>
      <c r="Y13" s="79"/>
    </row>
    <row r="14" spans="1:25" ht="14.25" customHeight="1" x14ac:dyDescent="0.2">
      <c r="A14" s="79"/>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25" ht="14.25" customHeight="1" x14ac:dyDescent="0.2">
      <c r="A15" s="79"/>
      <c r="B15" s="79"/>
      <c r="C15" s="79"/>
      <c r="D15" s="79"/>
      <c r="E15" s="79"/>
      <c r="F15" s="79"/>
      <c r="G15" s="79"/>
      <c r="H15" s="79"/>
      <c r="I15" s="79"/>
      <c r="J15" s="79"/>
      <c r="K15" s="79"/>
      <c r="L15" s="79"/>
      <c r="M15" s="79"/>
      <c r="N15" s="79"/>
      <c r="O15" s="79"/>
      <c r="P15" s="79"/>
      <c r="Q15" s="79"/>
      <c r="R15" s="79"/>
      <c r="S15" s="79"/>
      <c r="T15" s="79"/>
      <c r="U15" s="79"/>
      <c r="V15" s="79"/>
      <c r="W15" s="79"/>
      <c r="X15" s="79"/>
      <c r="Y15" s="79"/>
    </row>
    <row r="16" spans="1:25" ht="14.25" customHeight="1" x14ac:dyDescent="0.2">
      <c r="A16" s="79"/>
      <c r="B16" s="79"/>
      <c r="C16" s="79"/>
      <c r="D16" s="79"/>
      <c r="E16" s="79"/>
      <c r="F16" s="79"/>
      <c r="G16" s="79"/>
      <c r="H16" s="79"/>
      <c r="I16" s="79"/>
      <c r="J16" s="79"/>
      <c r="K16" s="79"/>
      <c r="L16" s="79"/>
      <c r="M16" s="79"/>
      <c r="N16" s="79"/>
      <c r="O16" s="79"/>
      <c r="P16" s="79"/>
      <c r="Q16" s="79"/>
      <c r="R16" s="79"/>
      <c r="S16" s="79"/>
      <c r="T16" s="79"/>
      <c r="U16" s="79"/>
      <c r="V16" s="79"/>
      <c r="W16" s="79"/>
      <c r="X16" s="79"/>
      <c r="Y16" s="79"/>
    </row>
    <row r="17" spans="1:25" ht="14.25" customHeight="1" x14ac:dyDescent="0.2">
      <c r="A17" s="79"/>
      <c r="B17" s="79"/>
      <c r="C17" s="79"/>
      <c r="D17" s="79"/>
      <c r="E17" s="79"/>
      <c r="F17" s="79"/>
      <c r="G17" s="79"/>
      <c r="H17" s="79"/>
      <c r="I17" s="79"/>
      <c r="J17" s="79"/>
      <c r="K17" s="79"/>
      <c r="L17" s="79"/>
      <c r="M17" s="79"/>
      <c r="N17" s="79"/>
      <c r="O17" s="79"/>
      <c r="P17" s="79"/>
      <c r="Q17" s="79"/>
      <c r="R17" s="79"/>
      <c r="S17" s="79"/>
      <c r="T17" s="79"/>
      <c r="U17" s="79"/>
      <c r="V17" s="79"/>
      <c r="W17" s="79"/>
      <c r="X17" s="79"/>
      <c r="Y17" s="79"/>
    </row>
    <row r="18" spans="1:25" ht="14.25" customHeight="1" x14ac:dyDescent="0.2">
      <c r="A18" s="79"/>
      <c r="B18" s="79"/>
      <c r="C18" s="79"/>
      <c r="D18" s="79"/>
      <c r="E18" s="79"/>
      <c r="F18" s="79"/>
      <c r="G18" s="79"/>
      <c r="H18" s="79"/>
      <c r="I18" s="79"/>
      <c r="J18" s="79"/>
      <c r="K18" s="79"/>
      <c r="L18" s="79"/>
      <c r="M18" s="79"/>
      <c r="N18" s="79"/>
      <c r="O18" s="79"/>
      <c r="P18" s="79"/>
      <c r="Q18" s="79"/>
      <c r="R18" s="79"/>
      <c r="S18" s="79"/>
      <c r="T18" s="79"/>
      <c r="U18" s="79"/>
      <c r="V18" s="79"/>
      <c r="W18" s="79"/>
      <c r="X18" s="79"/>
      <c r="Y18" s="79"/>
    </row>
    <row r="19" spans="1:25" ht="14.25" customHeigh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row>
    <row r="20" spans="1:25" ht="14.25" customHeight="1" x14ac:dyDescent="0.2">
      <c r="A20" s="79"/>
      <c r="B20" s="79"/>
      <c r="C20" s="79"/>
      <c r="D20" s="79"/>
      <c r="E20" s="79"/>
      <c r="F20" s="79"/>
      <c r="G20" s="79"/>
      <c r="H20" s="79"/>
      <c r="I20" s="79"/>
      <c r="J20" s="79"/>
      <c r="K20" s="79"/>
      <c r="L20" s="79"/>
      <c r="M20" s="79"/>
      <c r="N20" s="79"/>
      <c r="O20" s="79"/>
      <c r="P20" s="79"/>
      <c r="Q20" s="79"/>
      <c r="R20" s="79"/>
      <c r="S20" s="79"/>
      <c r="T20" s="79"/>
      <c r="U20" s="79"/>
      <c r="V20" s="79"/>
      <c r="W20" s="79"/>
      <c r="X20" s="79"/>
      <c r="Y20" s="79"/>
    </row>
    <row r="21" spans="1:25" ht="14.25" customHeight="1" x14ac:dyDescent="0.2">
      <c r="A21" s="79"/>
      <c r="B21" s="79"/>
      <c r="C21" s="79"/>
      <c r="D21" s="79"/>
      <c r="E21" s="79"/>
      <c r="F21" s="79"/>
      <c r="G21" s="79"/>
      <c r="H21" s="79"/>
      <c r="I21" s="79"/>
      <c r="J21" s="79"/>
      <c r="K21" s="79"/>
      <c r="L21" s="79"/>
      <c r="M21" s="79"/>
      <c r="N21" s="79"/>
      <c r="O21" s="79"/>
      <c r="P21" s="79"/>
      <c r="Q21" s="79"/>
      <c r="R21" s="79"/>
      <c r="S21" s="79"/>
      <c r="T21" s="79"/>
      <c r="U21" s="79"/>
      <c r="V21" s="79"/>
      <c r="W21" s="79"/>
      <c r="X21" s="79"/>
      <c r="Y21" s="79"/>
    </row>
    <row r="22" spans="1:25" ht="14.25" customHeight="1" x14ac:dyDescent="0.2">
      <c r="A22" s="79"/>
      <c r="B22" s="79"/>
      <c r="C22" s="79"/>
      <c r="D22" s="79"/>
      <c r="E22" s="79"/>
      <c r="F22" s="79"/>
      <c r="G22" s="79"/>
      <c r="H22" s="79"/>
      <c r="I22" s="79"/>
      <c r="J22" s="79"/>
      <c r="K22" s="79"/>
      <c r="L22" s="79"/>
      <c r="M22" s="79"/>
      <c r="N22" s="79"/>
      <c r="O22" s="79"/>
      <c r="P22" s="79"/>
      <c r="Q22" s="79"/>
      <c r="R22" s="79"/>
      <c r="S22" s="79"/>
      <c r="T22" s="79"/>
      <c r="U22" s="79"/>
      <c r="V22" s="79"/>
      <c r="W22" s="79"/>
      <c r="X22" s="79"/>
      <c r="Y22" s="79"/>
    </row>
    <row r="23" spans="1:25" ht="14.25" customHeight="1" x14ac:dyDescent="0.2">
      <c r="A23" s="79"/>
      <c r="B23" s="79"/>
      <c r="C23" s="79"/>
      <c r="D23" s="79"/>
      <c r="E23" s="79"/>
      <c r="F23" s="79"/>
      <c r="G23" s="79"/>
      <c r="H23" s="79"/>
      <c r="I23" s="79"/>
      <c r="J23" s="79"/>
      <c r="K23" s="79"/>
      <c r="L23" s="79"/>
      <c r="M23" s="79"/>
      <c r="N23" s="79"/>
      <c r="O23" s="79"/>
      <c r="P23" s="79"/>
      <c r="Q23" s="79"/>
      <c r="R23" s="79"/>
      <c r="S23" s="79"/>
      <c r="T23" s="79"/>
      <c r="U23" s="79"/>
      <c r="V23" s="79"/>
      <c r="W23" s="79"/>
      <c r="X23" s="79"/>
      <c r="Y23" s="79"/>
    </row>
    <row r="24" spans="1:25" ht="14.25" customHeight="1" x14ac:dyDescent="0.2">
      <c r="A24" s="79"/>
      <c r="B24" s="79"/>
      <c r="C24" s="79"/>
      <c r="D24" s="79"/>
      <c r="E24" s="79"/>
      <c r="F24" s="79"/>
      <c r="G24" s="79"/>
      <c r="H24" s="79"/>
      <c r="I24" s="79"/>
      <c r="J24" s="79"/>
      <c r="K24" s="79"/>
      <c r="L24" s="79"/>
      <c r="M24" s="79"/>
      <c r="N24" s="79"/>
      <c r="O24" s="79"/>
      <c r="P24" s="79"/>
      <c r="Q24" s="79"/>
      <c r="R24" s="79"/>
      <c r="S24" s="79"/>
      <c r="T24" s="79"/>
      <c r="U24" s="79"/>
      <c r="V24" s="79"/>
      <c r="W24" s="79"/>
      <c r="X24" s="79"/>
      <c r="Y24" s="79"/>
    </row>
    <row r="25" spans="1:25" ht="14.25" customHeight="1" x14ac:dyDescent="0.2">
      <c r="A25" s="79"/>
      <c r="B25" s="79"/>
      <c r="C25" s="79"/>
      <c r="D25" s="79"/>
      <c r="E25" s="79"/>
      <c r="F25" s="79"/>
      <c r="G25" s="79"/>
      <c r="H25" s="79"/>
      <c r="I25" s="79"/>
      <c r="J25" s="79"/>
      <c r="K25" s="79"/>
      <c r="L25" s="79"/>
      <c r="M25" s="79"/>
      <c r="N25" s="79"/>
      <c r="O25" s="79"/>
      <c r="P25" s="79"/>
      <c r="Q25" s="79"/>
      <c r="R25" s="79"/>
      <c r="S25" s="79"/>
      <c r="T25" s="79"/>
      <c r="U25" s="79"/>
      <c r="V25" s="79"/>
      <c r="W25" s="79"/>
      <c r="X25" s="79"/>
      <c r="Y25" s="79"/>
    </row>
    <row r="26" spans="1:25" ht="14.25" customHeight="1" x14ac:dyDescent="0.2">
      <c r="A26" s="79"/>
      <c r="B26" s="79"/>
      <c r="C26" s="79"/>
      <c r="D26" s="79"/>
      <c r="E26" s="79"/>
      <c r="F26" s="79"/>
      <c r="G26" s="79"/>
      <c r="H26" s="79"/>
      <c r="I26" s="79"/>
      <c r="J26" s="79"/>
      <c r="K26" s="79"/>
      <c r="L26" s="79"/>
      <c r="M26" s="79"/>
      <c r="N26" s="79"/>
      <c r="O26" s="79"/>
      <c r="P26" s="79"/>
      <c r="Q26" s="79"/>
      <c r="R26" s="79"/>
      <c r="S26" s="79"/>
      <c r="T26" s="79"/>
      <c r="U26" s="79"/>
      <c r="V26" s="79"/>
      <c r="W26" s="79"/>
      <c r="X26" s="79"/>
      <c r="Y26" s="79"/>
    </row>
    <row r="27" spans="1:25" ht="14.25" customHeight="1" x14ac:dyDescent="0.2">
      <c r="A27" s="79"/>
      <c r="B27" s="79"/>
      <c r="C27" s="79"/>
      <c r="D27" s="79"/>
      <c r="E27" s="79"/>
      <c r="F27" s="79"/>
      <c r="G27" s="79"/>
      <c r="H27" s="79"/>
      <c r="I27" s="79"/>
      <c r="J27" s="79"/>
      <c r="K27" s="79"/>
      <c r="L27" s="79"/>
      <c r="M27" s="79"/>
      <c r="N27" s="79"/>
      <c r="O27" s="79"/>
      <c r="P27" s="79"/>
      <c r="Q27" s="79"/>
      <c r="R27" s="79"/>
      <c r="S27" s="79"/>
      <c r="T27" s="79"/>
      <c r="U27" s="79"/>
      <c r="V27" s="79"/>
      <c r="W27" s="79"/>
      <c r="X27" s="79"/>
      <c r="Y27" s="79"/>
    </row>
    <row r="28" spans="1:25" ht="14.25" customHeight="1" x14ac:dyDescent="0.2">
      <c r="A28" s="79"/>
      <c r="B28" s="79"/>
      <c r="C28" s="79"/>
      <c r="D28" s="79"/>
      <c r="E28" s="79"/>
      <c r="F28" s="79"/>
      <c r="G28" s="79"/>
      <c r="H28" s="79"/>
      <c r="I28" s="79"/>
      <c r="J28" s="79"/>
      <c r="K28" s="79"/>
      <c r="L28" s="79"/>
      <c r="M28" s="79"/>
      <c r="N28" s="79"/>
      <c r="O28" s="79"/>
      <c r="P28" s="79"/>
      <c r="Q28" s="79"/>
      <c r="R28" s="79"/>
      <c r="S28" s="79"/>
      <c r="T28" s="79"/>
      <c r="U28" s="79"/>
      <c r="V28" s="79"/>
      <c r="W28" s="79"/>
      <c r="X28" s="79"/>
      <c r="Y28" s="79"/>
    </row>
    <row r="29" spans="1:25" ht="14.25" customHeight="1" x14ac:dyDescent="0.2">
      <c r="A29" s="79"/>
      <c r="B29" s="79"/>
      <c r="C29" s="79"/>
      <c r="D29" s="79"/>
      <c r="E29" s="79"/>
      <c r="F29" s="79"/>
      <c r="G29" s="79"/>
      <c r="H29" s="79"/>
      <c r="I29" s="79"/>
      <c r="J29" s="79"/>
      <c r="K29" s="79"/>
      <c r="L29" s="79"/>
      <c r="M29" s="79"/>
      <c r="N29" s="79"/>
      <c r="O29" s="79"/>
      <c r="P29" s="79"/>
      <c r="Q29" s="79"/>
      <c r="R29" s="79"/>
      <c r="S29" s="79"/>
      <c r="T29" s="79"/>
      <c r="U29" s="79"/>
      <c r="V29" s="79"/>
      <c r="W29" s="79"/>
      <c r="X29" s="79"/>
      <c r="Y29" s="79"/>
    </row>
    <row r="30" spans="1:25" ht="14.25" customHeight="1" x14ac:dyDescent="0.2">
      <c r="A30" s="79"/>
      <c r="B30" s="79"/>
      <c r="C30" s="79"/>
      <c r="D30" s="79"/>
      <c r="E30" s="79"/>
      <c r="F30" s="79"/>
      <c r="G30" s="79"/>
      <c r="H30" s="79"/>
      <c r="I30" s="79"/>
      <c r="J30" s="79"/>
      <c r="K30" s="79"/>
      <c r="L30" s="79"/>
      <c r="M30" s="79"/>
      <c r="N30" s="79"/>
      <c r="O30" s="79"/>
      <c r="P30" s="79"/>
      <c r="Q30" s="79"/>
      <c r="R30" s="79"/>
      <c r="S30" s="79"/>
      <c r="T30" s="79"/>
      <c r="U30" s="79"/>
      <c r="V30" s="79"/>
      <c r="W30" s="79"/>
      <c r="X30" s="79"/>
      <c r="Y30" s="79"/>
    </row>
    <row r="31" spans="1:25" ht="14.25" customHeight="1" x14ac:dyDescent="0.2">
      <c r="A31" s="79"/>
      <c r="B31" s="79"/>
      <c r="C31" s="79"/>
      <c r="D31" s="79"/>
      <c r="E31" s="79"/>
      <c r="F31" s="79"/>
      <c r="G31" s="79"/>
      <c r="H31" s="79"/>
      <c r="I31" s="79"/>
      <c r="J31" s="79"/>
      <c r="K31" s="79"/>
      <c r="L31" s="79"/>
      <c r="M31" s="79"/>
      <c r="N31" s="79"/>
      <c r="O31" s="79"/>
      <c r="P31" s="79"/>
      <c r="Q31" s="79"/>
      <c r="R31" s="79"/>
      <c r="S31" s="79"/>
      <c r="T31" s="79"/>
      <c r="U31" s="79"/>
      <c r="V31" s="79"/>
      <c r="W31" s="79"/>
      <c r="X31" s="79"/>
      <c r="Y31" s="79"/>
    </row>
    <row r="32" spans="1:25" ht="14.25" customHeight="1" x14ac:dyDescent="0.2">
      <c r="A32" s="79"/>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ht="14.25" customHeight="1" x14ac:dyDescent="0.2">
      <c r="A33" s="79"/>
      <c r="B33" s="79"/>
      <c r="C33" s="79"/>
      <c r="D33" s="79"/>
      <c r="E33" s="79"/>
      <c r="F33" s="79"/>
      <c r="G33" s="79"/>
      <c r="H33" s="79"/>
      <c r="I33" s="79"/>
      <c r="J33" s="79"/>
      <c r="K33" s="79"/>
      <c r="L33" s="79"/>
      <c r="M33" s="79"/>
      <c r="N33" s="79"/>
      <c r="O33" s="79"/>
      <c r="P33" s="79"/>
      <c r="Q33" s="79"/>
      <c r="R33" s="79"/>
      <c r="S33" s="79"/>
      <c r="T33" s="79"/>
      <c r="U33" s="79"/>
      <c r="V33" s="79"/>
      <c r="W33" s="79"/>
      <c r="X33" s="79"/>
      <c r="Y33" s="79"/>
    </row>
    <row r="34" spans="1:25" ht="14.25" customHeight="1" x14ac:dyDescent="0.2">
      <c r="A34" s="79"/>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1:25" ht="14.25" customHeight="1" x14ac:dyDescent="0.2">
      <c r="A35" s="79"/>
      <c r="B35" s="79"/>
      <c r="C35" s="79"/>
      <c r="D35" s="79"/>
      <c r="E35" s="79"/>
      <c r="F35" s="79"/>
      <c r="G35" s="79"/>
      <c r="H35" s="79"/>
      <c r="I35" s="79"/>
      <c r="J35" s="79"/>
      <c r="K35" s="79"/>
      <c r="L35" s="79"/>
      <c r="M35" s="79"/>
      <c r="N35" s="79"/>
      <c r="O35" s="79"/>
      <c r="P35" s="79"/>
      <c r="Q35" s="79"/>
      <c r="R35" s="79"/>
      <c r="S35" s="79"/>
      <c r="T35" s="79"/>
      <c r="U35" s="79"/>
      <c r="V35" s="79"/>
      <c r="W35" s="79"/>
      <c r="X35" s="79"/>
      <c r="Y35" s="79"/>
    </row>
    <row r="36" spans="1:25" ht="14.25" customHeight="1" x14ac:dyDescent="0.2">
      <c r="A36" s="79"/>
      <c r="B36" s="79"/>
      <c r="C36" s="79"/>
      <c r="D36" s="79"/>
      <c r="E36" s="79"/>
      <c r="F36" s="79"/>
      <c r="G36" s="79"/>
      <c r="H36" s="79"/>
      <c r="I36" s="79"/>
      <c r="J36" s="79"/>
      <c r="K36" s="79"/>
      <c r="L36" s="79"/>
      <c r="M36" s="79"/>
      <c r="N36" s="79"/>
      <c r="O36" s="79"/>
      <c r="P36" s="79"/>
      <c r="Q36" s="79"/>
      <c r="R36" s="79"/>
      <c r="S36" s="79"/>
      <c r="T36" s="79"/>
      <c r="U36" s="79"/>
      <c r="V36" s="79"/>
      <c r="W36" s="79"/>
      <c r="X36" s="79"/>
      <c r="Y36" s="79"/>
    </row>
    <row r="37" spans="1:25" ht="14.25" customHeight="1" x14ac:dyDescent="0.2">
      <c r="A37" s="79"/>
      <c r="B37" s="79"/>
      <c r="C37" s="79"/>
      <c r="D37" s="79"/>
      <c r="E37" s="79"/>
      <c r="F37" s="79"/>
      <c r="G37" s="79"/>
      <c r="H37" s="79"/>
      <c r="I37" s="79"/>
      <c r="J37" s="79"/>
      <c r="K37" s="79"/>
      <c r="L37" s="79"/>
      <c r="M37" s="79"/>
      <c r="N37" s="79"/>
      <c r="O37" s="79"/>
      <c r="P37" s="79"/>
      <c r="Q37" s="79"/>
      <c r="R37" s="79"/>
      <c r="S37" s="79"/>
      <c r="T37" s="79"/>
      <c r="U37" s="79"/>
      <c r="V37" s="79"/>
      <c r="W37" s="79"/>
      <c r="X37" s="79"/>
      <c r="Y37" s="79"/>
    </row>
    <row r="38" spans="1:25" ht="14.25" customHeight="1" x14ac:dyDescent="0.2">
      <c r="A38" s="79"/>
      <c r="B38" s="79"/>
      <c r="C38" s="79"/>
      <c r="D38" s="79"/>
      <c r="E38" s="79"/>
      <c r="F38" s="79"/>
      <c r="G38" s="79"/>
      <c r="H38" s="79"/>
      <c r="I38" s="79"/>
      <c r="J38" s="79"/>
      <c r="K38" s="79"/>
      <c r="L38" s="79"/>
      <c r="M38" s="79"/>
      <c r="N38" s="79"/>
      <c r="O38" s="79"/>
      <c r="P38" s="79"/>
      <c r="Q38" s="79"/>
      <c r="R38" s="79"/>
      <c r="S38" s="79"/>
      <c r="T38" s="79"/>
      <c r="U38" s="79"/>
      <c r="V38" s="79"/>
      <c r="W38" s="79"/>
      <c r="X38" s="79"/>
      <c r="Y38" s="79"/>
    </row>
    <row r="39" spans="1:25" ht="14.25" customHeight="1" x14ac:dyDescent="0.2">
      <c r="A39" s="79"/>
      <c r="B39" s="79"/>
      <c r="C39" s="79"/>
      <c r="D39" s="79"/>
      <c r="E39" s="79"/>
      <c r="F39" s="79"/>
      <c r="G39" s="79"/>
      <c r="H39" s="79"/>
      <c r="I39" s="79"/>
      <c r="J39" s="79"/>
      <c r="K39" s="79"/>
      <c r="L39" s="79"/>
      <c r="M39" s="79"/>
      <c r="N39" s="79"/>
      <c r="O39" s="79"/>
      <c r="P39" s="79"/>
      <c r="Q39" s="79"/>
      <c r="R39" s="79"/>
      <c r="S39" s="79"/>
      <c r="T39" s="79"/>
      <c r="U39" s="79"/>
      <c r="V39" s="79"/>
      <c r="W39" s="79"/>
      <c r="X39" s="79"/>
      <c r="Y39" s="79"/>
    </row>
    <row r="40" spans="1:25" ht="14.25" customHeight="1" x14ac:dyDescent="0.2">
      <c r="A40" s="79"/>
      <c r="B40" s="79"/>
      <c r="C40" s="79"/>
      <c r="D40" s="79"/>
      <c r="E40" s="79"/>
      <c r="F40" s="79"/>
      <c r="G40" s="79"/>
      <c r="H40" s="79"/>
      <c r="I40" s="79"/>
      <c r="J40" s="79"/>
      <c r="K40" s="79"/>
      <c r="L40" s="79"/>
      <c r="M40" s="79"/>
      <c r="N40" s="79"/>
      <c r="O40" s="79"/>
      <c r="P40" s="79"/>
      <c r="Q40" s="79"/>
      <c r="R40" s="79"/>
      <c r="S40" s="79"/>
      <c r="T40" s="79"/>
      <c r="U40" s="79"/>
      <c r="V40" s="79"/>
      <c r="W40" s="79"/>
      <c r="X40" s="79"/>
      <c r="Y40" s="79"/>
    </row>
  </sheetData>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drawing r:id="rId2"/>
  <legacyDrawingHF r:id="rId3"/>
  <extLst>
    <ext xmlns:x15="http://schemas.microsoft.com/office/spreadsheetml/2010/11/main" uri="{3A4CF648-6AED-40f4-86FF-DC5316D8AED3}">
      <x14:slicerList xmlns:x14="http://schemas.microsoft.com/office/spreadsheetml/2009/9/main">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56D5-A397-4D43-8F30-0B0414A35CDD}">
  <dimension ref="A1:T481"/>
  <sheetViews>
    <sheetView showRuler="0" zoomScale="82" zoomScaleNormal="55" zoomScaleSheetLayoutView="400" zoomScalePageLayoutView="90" workbookViewId="0">
      <pane xSplit="1" ySplit="1" topLeftCell="I2" activePane="bottomRight" state="frozen"/>
      <selection pane="topRight" activeCell="B1" sqref="B1"/>
      <selection pane="bottomLeft" activeCell="A2" sqref="A2"/>
      <selection pane="bottomRight" activeCell="T427" sqref="T427"/>
    </sheetView>
  </sheetViews>
  <sheetFormatPr defaultColWidth="9.28515625" defaultRowHeight="14.25" customHeight="1" x14ac:dyDescent="0.2"/>
  <cols>
    <col min="1" max="4" width="16" style="1" customWidth="1"/>
    <col min="5" max="5" width="28" style="1" bestFit="1" customWidth="1"/>
    <col min="6" max="6" width="24.7109375" style="1" bestFit="1" customWidth="1"/>
    <col min="7" max="7" width="142.28515625" style="1" bestFit="1" customWidth="1"/>
    <col min="8" max="8" width="19.85546875" style="1" customWidth="1"/>
    <col min="9" max="9" width="13.7109375" style="1" customWidth="1"/>
    <col min="10" max="10" width="29.7109375" style="1" bestFit="1" customWidth="1"/>
    <col min="11" max="11" width="9.28515625" style="1"/>
    <col min="12" max="12" width="11.28515625" style="1" bestFit="1" customWidth="1"/>
    <col min="13" max="13" width="14.42578125" style="1" customWidth="1"/>
    <col min="14" max="14" width="20.28515625" style="1" bestFit="1" customWidth="1"/>
    <col min="15" max="15" width="16" style="1" customWidth="1"/>
    <col min="16" max="16" width="16.7109375" style="1" customWidth="1"/>
    <col min="17" max="17" width="13.7109375" style="1" customWidth="1"/>
    <col min="18" max="18" width="19.28515625" style="1" customWidth="1"/>
    <col min="19" max="19" width="18.7109375" style="1" customWidth="1"/>
    <col min="20" max="20" width="105.28515625" style="1" bestFit="1" customWidth="1"/>
    <col min="21" max="16384" width="9.28515625" style="1"/>
  </cols>
  <sheetData>
    <row r="1" spans="1:20" ht="14.25" customHeight="1" x14ac:dyDescent="0.2">
      <c r="A1" s="94" t="s">
        <v>467</v>
      </c>
      <c r="B1" s="94" t="s">
        <v>468</v>
      </c>
      <c r="C1" s="94" t="s">
        <v>297</v>
      </c>
      <c r="D1" s="94" t="s">
        <v>469</v>
      </c>
      <c r="E1" s="94" t="s">
        <v>470</v>
      </c>
      <c r="F1" s="94" t="s">
        <v>471</v>
      </c>
      <c r="G1" s="94" t="s">
        <v>472</v>
      </c>
      <c r="H1" s="94" t="s">
        <v>473</v>
      </c>
      <c r="I1" s="94" t="s">
        <v>474</v>
      </c>
      <c r="J1" s="94" t="s">
        <v>475</v>
      </c>
      <c r="K1" s="94" t="s">
        <v>5</v>
      </c>
      <c r="L1" s="94" t="s">
        <v>476</v>
      </c>
      <c r="M1" s="94" t="s">
        <v>477</v>
      </c>
      <c r="N1" s="94" t="s">
        <v>478</v>
      </c>
      <c r="O1" s="94" t="s">
        <v>479</v>
      </c>
      <c r="P1" s="94" t="s">
        <v>480</v>
      </c>
      <c r="Q1" s="94" t="s">
        <v>481</v>
      </c>
      <c r="R1" s="94" t="s">
        <v>482</v>
      </c>
      <c r="S1" s="94" t="s">
        <v>483</v>
      </c>
      <c r="T1" s="94" t="s">
        <v>484</v>
      </c>
    </row>
    <row r="2" spans="1:20" ht="14.25" hidden="1" customHeight="1" x14ac:dyDescent="0.2">
      <c r="A2" s="1" t="s">
        <v>305</v>
      </c>
      <c r="B2" s="1" t="s">
        <v>485</v>
      </c>
      <c r="C2" s="1">
        <v>8</v>
      </c>
      <c r="D2" s="6">
        <v>304743</v>
      </c>
      <c r="E2" s="1" t="s">
        <v>164</v>
      </c>
      <c r="F2" s="1" t="str">
        <f>RIGHT(E2, LEN(E2) - 6)</f>
        <v>A01</v>
      </c>
      <c r="G2" s="1" t="s">
        <v>165</v>
      </c>
      <c r="H2" s="1" t="s">
        <v>486</v>
      </c>
      <c r="I2" s="1">
        <v>2024</v>
      </c>
      <c r="J2" s="1" t="s">
        <v>487</v>
      </c>
      <c r="K2" s="1" t="s">
        <v>488</v>
      </c>
      <c r="L2" s="1" t="s">
        <v>489</v>
      </c>
      <c r="P2" s="1" t="s">
        <v>490</v>
      </c>
      <c r="Q2" s="1">
        <v>0</v>
      </c>
      <c r="R2" s="1">
        <v>0</v>
      </c>
      <c r="S2" s="1">
        <v>0</v>
      </c>
    </row>
    <row r="3" spans="1:20" ht="14.25" hidden="1" customHeight="1" x14ac:dyDescent="0.2">
      <c r="A3" s="1" t="s">
        <v>305</v>
      </c>
      <c r="B3" s="1" t="s">
        <v>485</v>
      </c>
      <c r="C3" s="1">
        <v>8</v>
      </c>
      <c r="D3" s="6">
        <v>304743</v>
      </c>
      <c r="E3" s="1" t="s">
        <v>164</v>
      </c>
      <c r="F3" s="1" t="str">
        <f t="shared" ref="F3:F66" si="0">RIGHT(E3, LEN(E3) - 6)</f>
        <v>A01</v>
      </c>
      <c r="G3" s="1" t="s">
        <v>165</v>
      </c>
      <c r="H3" s="1" t="s">
        <v>486</v>
      </c>
      <c r="I3" s="1">
        <v>2024</v>
      </c>
      <c r="J3" s="1" t="s">
        <v>487</v>
      </c>
      <c r="K3" s="1" t="s">
        <v>491</v>
      </c>
      <c r="L3" s="1" t="s">
        <v>489</v>
      </c>
      <c r="P3" s="1" t="s">
        <v>490</v>
      </c>
      <c r="Q3" s="1">
        <v>0</v>
      </c>
      <c r="R3" s="1">
        <v>4</v>
      </c>
      <c r="S3" s="1">
        <v>4</v>
      </c>
    </row>
    <row r="4" spans="1:20" ht="14.25" hidden="1" customHeight="1" x14ac:dyDescent="0.2">
      <c r="A4" s="1" t="s">
        <v>305</v>
      </c>
      <c r="B4" s="1" t="s">
        <v>485</v>
      </c>
      <c r="C4" s="1">
        <v>8</v>
      </c>
      <c r="D4" s="6">
        <v>304743</v>
      </c>
      <c r="E4" s="1" t="s">
        <v>179</v>
      </c>
      <c r="F4" s="1" t="str">
        <f t="shared" si="0"/>
        <v>A07</v>
      </c>
      <c r="G4" s="1" t="s">
        <v>492</v>
      </c>
      <c r="H4" s="1" t="s">
        <v>486</v>
      </c>
      <c r="I4" s="1">
        <v>2024</v>
      </c>
      <c r="J4" s="1" t="s">
        <v>487</v>
      </c>
      <c r="P4" s="1" t="s">
        <v>490</v>
      </c>
      <c r="Q4" s="1">
        <v>0</v>
      </c>
      <c r="R4" s="1">
        <v>1</v>
      </c>
      <c r="S4" s="1">
        <v>1</v>
      </c>
    </row>
    <row r="5" spans="1:20" ht="14.25" hidden="1" customHeight="1" x14ac:dyDescent="0.2">
      <c r="A5" s="1" t="s">
        <v>305</v>
      </c>
      <c r="B5" s="1" t="s">
        <v>485</v>
      </c>
      <c r="C5" s="1">
        <v>8</v>
      </c>
      <c r="D5" s="6">
        <v>304743</v>
      </c>
      <c r="E5" s="1" t="s">
        <v>217</v>
      </c>
      <c r="F5" s="1" t="str">
        <f t="shared" si="0"/>
        <v>C02</v>
      </c>
      <c r="G5" s="1" t="s">
        <v>493</v>
      </c>
      <c r="H5" s="1" t="s">
        <v>486</v>
      </c>
      <c r="I5" s="1">
        <v>2024</v>
      </c>
      <c r="J5" s="1" t="s">
        <v>487</v>
      </c>
      <c r="P5" s="1" t="s">
        <v>490</v>
      </c>
      <c r="Q5" s="1">
        <v>128</v>
      </c>
      <c r="R5" s="1">
        <v>178</v>
      </c>
      <c r="S5" s="1">
        <v>20</v>
      </c>
    </row>
    <row r="6" spans="1:20" ht="14.25" hidden="1" customHeight="1" x14ac:dyDescent="0.2">
      <c r="A6" s="1" t="s">
        <v>305</v>
      </c>
      <c r="B6" s="1" t="s">
        <v>485</v>
      </c>
      <c r="C6" s="1">
        <v>8</v>
      </c>
      <c r="D6" s="6">
        <v>304743</v>
      </c>
      <c r="E6" s="1" t="s">
        <v>230</v>
      </c>
      <c r="F6" s="1" t="str">
        <f t="shared" si="0"/>
        <v>C08</v>
      </c>
      <c r="G6" s="1" t="s">
        <v>231</v>
      </c>
      <c r="H6" s="1" t="s">
        <v>486</v>
      </c>
      <c r="I6" s="1">
        <v>2024</v>
      </c>
      <c r="J6" s="1" t="s">
        <v>487</v>
      </c>
      <c r="P6" s="1" t="s">
        <v>490</v>
      </c>
      <c r="Q6" s="1">
        <v>0</v>
      </c>
      <c r="R6" s="1">
        <v>0</v>
      </c>
      <c r="S6" s="1">
        <v>15</v>
      </c>
    </row>
    <row r="7" spans="1:20" ht="14.25" hidden="1" customHeight="1" x14ac:dyDescent="0.2">
      <c r="A7" s="1" t="s">
        <v>305</v>
      </c>
      <c r="B7" s="1" t="s">
        <v>485</v>
      </c>
      <c r="C7" s="1">
        <v>8</v>
      </c>
      <c r="D7" s="6">
        <v>304743</v>
      </c>
      <c r="E7" s="1" t="s">
        <v>247</v>
      </c>
      <c r="F7" s="1" t="str">
        <f t="shared" si="0"/>
        <v>C16</v>
      </c>
      <c r="G7" s="1" t="s">
        <v>494</v>
      </c>
      <c r="H7" s="1" t="s">
        <v>486</v>
      </c>
      <c r="I7" s="1">
        <v>2024</v>
      </c>
      <c r="J7" s="1" t="s">
        <v>487</v>
      </c>
      <c r="P7" s="1" t="s">
        <v>490</v>
      </c>
      <c r="Q7" s="1">
        <v>0</v>
      </c>
      <c r="R7" s="1">
        <v>0</v>
      </c>
      <c r="S7" s="1">
        <v>15</v>
      </c>
    </row>
    <row r="8" spans="1:20" ht="14.25" hidden="1" customHeight="1" x14ac:dyDescent="0.2">
      <c r="A8" s="1" t="s">
        <v>305</v>
      </c>
      <c r="B8" s="1" t="s">
        <v>485</v>
      </c>
      <c r="C8" s="1">
        <v>9</v>
      </c>
      <c r="D8" s="6">
        <v>304743</v>
      </c>
      <c r="E8" s="1" t="s">
        <v>254</v>
      </c>
      <c r="F8" s="1" t="str">
        <f t="shared" si="0"/>
        <v>C19</v>
      </c>
      <c r="G8" s="1" t="s">
        <v>495</v>
      </c>
      <c r="H8" s="1" t="s">
        <v>486</v>
      </c>
      <c r="I8" s="1">
        <v>2024</v>
      </c>
      <c r="J8" s="1" t="s">
        <v>487</v>
      </c>
      <c r="P8" s="1" t="s">
        <v>490</v>
      </c>
      <c r="Q8" s="1">
        <v>0</v>
      </c>
      <c r="R8" s="1">
        <v>0</v>
      </c>
      <c r="S8" s="1" t="s">
        <v>490</v>
      </c>
    </row>
    <row r="9" spans="1:20" ht="14.25" hidden="1" customHeight="1" x14ac:dyDescent="0.2">
      <c r="A9" s="1" t="s">
        <v>306</v>
      </c>
      <c r="B9" s="1" t="s">
        <v>485</v>
      </c>
      <c r="C9" s="1">
        <v>9</v>
      </c>
      <c r="D9" s="6">
        <v>284755</v>
      </c>
      <c r="E9" s="1" t="s">
        <v>164</v>
      </c>
      <c r="F9" s="1" t="str">
        <f t="shared" si="0"/>
        <v>A01</v>
      </c>
      <c r="G9" s="1" t="s">
        <v>165</v>
      </c>
      <c r="H9" s="1" t="s">
        <v>486</v>
      </c>
      <c r="I9" s="1">
        <v>2024</v>
      </c>
      <c r="J9" s="1" t="s">
        <v>496</v>
      </c>
      <c r="P9" s="1" t="s">
        <v>490</v>
      </c>
      <c r="Q9" s="1">
        <v>0</v>
      </c>
      <c r="R9" s="1" t="s">
        <v>490</v>
      </c>
      <c r="S9" s="1" t="s">
        <v>490</v>
      </c>
      <c r="T9" s="1" t="s">
        <v>497</v>
      </c>
    </row>
    <row r="10" spans="1:20" ht="14.25" hidden="1" customHeight="1" x14ac:dyDescent="0.2">
      <c r="A10" s="1" t="s">
        <v>306</v>
      </c>
      <c r="B10" s="1" t="s">
        <v>485</v>
      </c>
      <c r="C10" s="1">
        <v>9</v>
      </c>
      <c r="D10" s="6">
        <v>284755</v>
      </c>
      <c r="E10" s="1" t="s">
        <v>169</v>
      </c>
      <c r="F10" s="1" t="str">
        <f t="shared" si="0"/>
        <v>A03</v>
      </c>
      <c r="G10" s="1" t="s">
        <v>170</v>
      </c>
      <c r="H10" s="1" t="s">
        <v>486</v>
      </c>
      <c r="I10" s="1">
        <v>2024</v>
      </c>
      <c r="J10" s="1" t="s">
        <v>496</v>
      </c>
      <c r="P10" s="1" t="s">
        <v>490</v>
      </c>
      <c r="Q10" s="1">
        <v>3</v>
      </c>
      <c r="R10" s="1">
        <v>6</v>
      </c>
      <c r="S10" s="1">
        <v>6</v>
      </c>
    </row>
    <row r="11" spans="1:20" ht="14.25" hidden="1" customHeight="1" x14ac:dyDescent="0.2">
      <c r="A11" s="1" t="s">
        <v>306</v>
      </c>
      <c r="B11" s="1" t="s">
        <v>485</v>
      </c>
      <c r="C11" s="1">
        <v>9</v>
      </c>
      <c r="D11" s="6">
        <v>284755</v>
      </c>
      <c r="E11" s="1" t="s">
        <v>190</v>
      </c>
      <c r="F11" s="1" t="str">
        <f t="shared" si="0"/>
        <v>B02</v>
      </c>
      <c r="G11" s="1" t="s">
        <v>498</v>
      </c>
      <c r="H11" s="1" t="s">
        <v>486</v>
      </c>
      <c r="I11" s="1">
        <v>2024</v>
      </c>
      <c r="J11" s="1" t="s">
        <v>496</v>
      </c>
      <c r="P11" s="1" t="s">
        <v>490</v>
      </c>
      <c r="Q11" s="1">
        <v>0</v>
      </c>
      <c r="R11" s="1">
        <v>0</v>
      </c>
      <c r="S11" s="1">
        <v>3</v>
      </c>
    </row>
    <row r="12" spans="1:20" ht="14.25" hidden="1" customHeight="1" x14ac:dyDescent="0.2">
      <c r="A12" s="1" t="s">
        <v>306</v>
      </c>
      <c r="B12" s="1" t="s">
        <v>485</v>
      </c>
      <c r="C12" s="1">
        <v>9</v>
      </c>
      <c r="D12" s="6">
        <v>284755</v>
      </c>
      <c r="E12" s="1" t="s">
        <v>215</v>
      </c>
      <c r="F12" s="1" t="str">
        <f t="shared" si="0"/>
        <v>C01</v>
      </c>
      <c r="G12" s="1" t="s">
        <v>499</v>
      </c>
      <c r="H12" s="1" t="s">
        <v>486</v>
      </c>
      <c r="I12" s="1">
        <v>2024</v>
      </c>
      <c r="J12" s="1" t="s">
        <v>496</v>
      </c>
      <c r="P12" s="1" t="s">
        <v>490</v>
      </c>
      <c r="Q12" s="1">
        <v>0</v>
      </c>
      <c r="R12" s="1">
        <v>0</v>
      </c>
      <c r="S12" s="1">
        <v>1</v>
      </c>
    </row>
    <row r="13" spans="1:20" ht="14.25" hidden="1" customHeight="1" x14ac:dyDescent="0.2">
      <c r="A13" s="1" t="s">
        <v>306</v>
      </c>
      <c r="B13" s="1" t="s">
        <v>485</v>
      </c>
      <c r="C13" s="1">
        <v>9</v>
      </c>
      <c r="D13" s="6">
        <v>284755</v>
      </c>
      <c r="E13" s="1" t="s">
        <v>217</v>
      </c>
      <c r="F13" s="1" t="str">
        <f t="shared" si="0"/>
        <v>C02</v>
      </c>
      <c r="G13" s="1" t="s">
        <v>493</v>
      </c>
      <c r="H13" s="1" t="s">
        <v>486</v>
      </c>
      <c r="I13" s="1">
        <v>2024</v>
      </c>
      <c r="J13" s="1" t="s">
        <v>496</v>
      </c>
      <c r="P13" s="1" t="s">
        <v>490</v>
      </c>
      <c r="Q13" s="1">
        <v>0</v>
      </c>
      <c r="R13" s="1">
        <v>0</v>
      </c>
      <c r="S13" s="1">
        <v>1</v>
      </c>
    </row>
    <row r="14" spans="1:20" ht="14.25" hidden="1" customHeight="1" x14ac:dyDescent="0.2">
      <c r="A14" s="1" t="s">
        <v>307</v>
      </c>
      <c r="B14" s="1" t="s">
        <v>485</v>
      </c>
      <c r="C14" s="1">
        <v>9</v>
      </c>
      <c r="D14" s="6">
        <v>499991</v>
      </c>
      <c r="E14" s="1" t="s">
        <v>164</v>
      </c>
      <c r="F14" s="1" t="str">
        <f t="shared" si="0"/>
        <v>A01</v>
      </c>
      <c r="G14" s="1" t="s">
        <v>165</v>
      </c>
      <c r="H14" s="1" t="s">
        <v>486</v>
      </c>
      <c r="I14" s="1">
        <v>2024</v>
      </c>
      <c r="J14" s="1" t="s">
        <v>500</v>
      </c>
      <c r="P14" s="1" t="s">
        <v>490</v>
      </c>
      <c r="Q14" s="1">
        <v>3</v>
      </c>
      <c r="R14" s="1">
        <v>3</v>
      </c>
      <c r="S14" s="1">
        <v>3</v>
      </c>
    </row>
    <row r="15" spans="1:20" ht="14.25" hidden="1" customHeight="1" x14ac:dyDescent="0.2">
      <c r="A15" s="1" t="s">
        <v>307</v>
      </c>
      <c r="B15" s="1" t="s">
        <v>485</v>
      </c>
      <c r="C15" s="1">
        <v>9</v>
      </c>
      <c r="D15" s="6">
        <v>499991</v>
      </c>
      <c r="E15" s="1" t="s">
        <v>169</v>
      </c>
      <c r="F15" s="1" t="str">
        <f t="shared" si="0"/>
        <v>A03</v>
      </c>
      <c r="G15" s="1" t="s">
        <v>170</v>
      </c>
      <c r="H15" s="1" t="s">
        <v>486</v>
      </c>
      <c r="I15" s="1">
        <v>2024</v>
      </c>
      <c r="J15" s="1" t="s">
        <v>500</v>
      </c>
      <c r="P15" s="1" t="s">
        <v>490</v>
      </c>
      <c r="Q15" s="1">
        <v>1</v>
      </c>
      <c r="R15" s="1">
        <v>1</v>
      </c>
      <c r="S15" s="1">
        <v>1</v>
      </c>
    </row>
    <row r="16" spans="1:20" ht="14.25" hidden="1" customHeight="1" x14ac:dyDescent="0.2">
      <c r="A16" s="1" t="s">
        <v>307</v>
      </c>
      <c r="B16" s="1" t="s">
        <v>485</v>
      </c>
      <c r="C16" s="1">
        <v>9</v>
      </c>
      <c r="D16" s="6">
        <v>499991</v>
      </c>
      <c r="E16" s="1" t="s">
        <v>179</v>
      </c>
      <c r="F16" s="1" t="str">
        <f t="shared" si="0"/>
        <v>A07</v>
      </c>
      <c r="G16" s="1" t="s">
        <v>492</v>
      </c>
      <c r="H16" s="1" t="s">
        <v>486</v>
      </c>
      <c r="I16" s="1">
        <v>2024</v>
      </c>
      <c r="J16" s="1" t="s">
        <v>500</v>
      </c>
      <c r="P16" s="1" t="s">
        <v>490</v>
      </c>
      <c r="Q16" s="1">
        <v>0</v>
      </c>
      <c r="R16" s="1">
        <v>0</v>
      </c>
      <c r="S16" s="1">
        <v>1</v>
      </c>
    </row>
    <row r="17" spans="1:20" ht="14.25" hidden="1" customHeight="1" x14ac:dyDescent="0.2">
      <c r="A17" s="1" t="s">
        <v>307</v>
      </c>
      <c r="B17" s="1" t="s">
        <v>485</v>
      </c>
      <c r="C17" s="1">
        <v>9</v>
      </c>
      <c r="D17" s="6">
        <v>499991</v>
      </c>
      <c r="E17" s="1" t="s">
        <v>190</v>
      </c>
      <c r="F17" s="1" t="str">
        <f t="shared" si="0"/>
        <v>B02</v>
      </c>
      <c r="G17" s="1" t="s">
        <v>498</v>
      </c>
      <c r="H17" s="1" t="s">
        <v>486</v>
      </c>
      <c r="I17" s="1">
        <v>2024</v>
      </c>
      <c r="J17" s="1" t="s">
        <v>500</v>
      </c>
      <c r="P17" s="1" t="s">
        <v>490</v>
      </c>
      <c r="Q17" s="1">
        <v>0</v>
      </c>
      <c r="R17" s="1">
        <v>0</v>
      </c>
      <c r="S17" s="1">
        <v>1</v>
      </c>
    </row>
    <row r="18" spans="1:20" ht="14.25" hidden="1" customHeight="1" x14ac:dyDescent="0.2">
      <c r="A18" s="1" t="s">
        <v>307</v>
      </c>
      <c r="B18" s="1" t="s">
        <v>485</v>
      </c>
      <c r="C18" s="1">
        <v>9</v>
      </c>
      <c r="D18" s="6">
        <v>499991</v>
      </c>
      <c r="E18" s="1" t="s">
        <v>210</v>
      </c>
      <c r="F18" s="1" t="str">
        <f t="shared" si="0"/>
        <v>B11</v>
      </c>
      <c r="G18" s="1" t="s">
        <v>501</v>
      </c>
      <c r="H18" s="1" t="s">
        <v>486</v>
      </c>
      <c r="I18" s="1">
        <v>2024</v>
      </c>
      <c r="J18" s="1" t="s">
        <v>500</v>
      </c>
      <c r="P18" s="1" t="s">
        <v>490</v>
      </c>
      <c r="Q18" s="1">
        <v>3</v>
      </c>
      <c r="R18" s="1">
        <v>3</v>
      </c>
      <c r="S18" s="1">
        <v>3</v>
      </c>
    </row>
    <row r="19" spans="1:20" ht="14.25" hidden="1" customHeight="1" x14ac:dyDescent="0.2">
      <c r="A19" s="1" t="s">
        <v>307</v>
      </c>
      <c r="B19" s="1" t="s">
        <v>485</v>
      </c>
      <c r="C19" s="1">
        <v>9</v>
      </c>
      <c r="D19" s="6">
        <v>499991</v>
      </c>
      <c r="E19" s="1" t="s">
        <v>215</v>
      </c>
      <c r="F19" s="1" t="str">
        <f t="shared" si="0"/>
        <v>C01</v>
      </c>
      <c r="G19" s="1" t="s">
        <v>499</v>
      </c>
      <c r="H19" s="1" t="s">
        <v>486</v>
      </c>
      <c r="I19" s="1">
        <v>2024</v>
      </c>
      <c r="J19" s="1" t="s">
        <v>500</v>
      </c>
      <c r="P19" s="1" t="s">
        <v>490</v>
      </c>
      <c r="Q19" s="1">
        <v>0</v>
      </c>
      <c r="R19" s="1">
        <v>0</v>
      </c>
      <c r="S19" s="1">
        <v>2</v>
      </c>
    </row>
    <row r="20" spans="1:20" ht="14.25" hidden="1" customHeight="1" x14ac:dyDescent="0.2">
      <c r="A20" s="1" t="s">
        <v>307</v>
      </c>
      <c r="B20" s="1" t="s">
        <v>485</v>
      </c>
      <c r="C20" s="1">
        <v>9</v>
      </c>
      <c r="D20" s="6">
        <v>499991</v>
      </c>
      <c r="E20" s="1" t="s">
        <v>227</v>
      </c>
      <c r="F20" s="1" t="str">
        <f t="shared" si="0"/>
        <v>C07</v>
      </c>
      <c r="G20" s="1" t="s">
        <v>502</v>
      </c>
      <c r="H20" s="1" t="s">
        <v>486</v>
      </c>
      <c r="I20" s="1">
        <v>2024</v>
      </c>
      <c r="J20" s="1" t="s">
        <v>500</v>
      </c>
      <c r="P20" s="1" t="s">
        <v>490</v>
      </c>
      <c r="Q20" s="1">
        <v>0</v>
      </c>
      <c r="R20" s="1">
        <v>1</v>
      </c>
      <c r="S20" s="1">
        <v>2</v>
      </c>
    </row>
    <row r="21" spans="1:20" ht="14.25" hidden="1" customHeight="1" x14ac:dyDescent="0.2">
      <c r="A21" s="1" t="s">
        <v>307</v>
      </c>
      <c r="B21" s="1" t="s">
        <v>485</v>
      </c>
      <c r="C21" s="1">
        <v>9</v>
      </c>
      <c r="D21" s="6">
        <v>499991</v>
      </c>
      <c r="E21" s="1" t="s">
        <v>230</v>
      </c>
      <c r="F21" s="1" t="str">
        <f t="shared" si="0"/>
        <v>C08</v>
      </c>
      <c r="G21" s="1" t="s">
        <v>503</v>
      </c>
      <c r="H21" s="1" t="s">
        <v>486</v>
      </c>
      <c r="I21" s="1">
        <v>2024</v>
      </c>
      <c r="J21" s="1" t="s">
        <v>500</v>
      </c>
      <c r="M21" s="1" t="s">
        <v>504</v>
      </c>
      <c r="N21" s="1" t="s">
        <v>505</v>
      </c>
      <c r="P21" s="1" t="s">
        <v>490</v>
      </c>
      <c r="Q21" s="1">
        <v>3</v>
      </c>
      <c r="R21" s="1">
        <v>3</v>
      </c>
      <c r="S21" s="1">
        <v>3</v>
      </c>
    </row>
    <row r="22" spans="1:20" ht="14.25" hidden="1" customHeight="1" x14ac:dyDescent="0.2">
      <c r="A22" s="1" t="s">
        <v>307</v>
      </c>
      <c r="B22" s="1" t="s">
        <v>485</v>
      </c>
      <c r="C22" s="1">
        <v>9</v>
      </c>
      <c r="D22" s="6">
        <v>499991</v>
      </c>
      <c r="E22" s="1" t="s">
        <v>238</v>
      </c>
      <c r="F22" s="1" t="str">
        <f t="shared" si="0"/>
        <v>C12</v>
      </c>
      <c r="G22" s="1" t="s">
        <v>506</v>
      </c>
      <c r="H22" s="1" t="s">
        <v>486</v>
      </c>
      <c r="I22" s="1">
        <v>2024</v>
      </c>
      <c r="J22" s="1" t="s">
        <v>500</v>
      </c>
      <c r="P22" s="1" t="s">
        <v>490</v>
      </c>
      <c r="Q22" s="1">
        <v>1000</v>
      </c>
      <c r="R22" s="1">
        <v>3000</v>
      </c>
      <c r="S22" s="1">
        <v>3000</v>
      </c>
      <c r="T22" s="1" t="s">
        <v>507</v>
      </c>
    </row>
    <row r="23" spans="1:20" ht="14.25" hidden="1" customHeight="1" x14ac:dyDescent="0.2">
      <c r="A23" s="1" t="s">
        <v>307</v>
      </c>
      <c r="B23" s="1" t="s">
        <v>485</v>
      </c>
      <c r="C23" s="1">
        <v>9</v>
      </c>
      <c r="D23" s="6">
        <v>499991</v>
      </c>
      <c r="E23" s="1" t="s">
        <v>245</v>
      </c>
      <c r="F23" s="1" t="str">
        <f t="shared" si="0"/>
        <v>C15</v>
      </c>
      <c r="G23" s="1" t="s">
        <v>508</v>
      </c>
      <c r="H23" s="1" t="s">
        <v>486</v>
      </c>
      <c r="I23" s="1">
        <v>2024</v>
      </c>
      <c r="J23" s="1" t="s">
        <v>500</v>
      </c>
      <c r="P23" s="1" t="s">
        <v>490</v>
      </c>
      <c r="Q23" s="1">
        <v>6</v>
      </c>
      <c r="R23" s="1">
        <v>18</v>
      </c>
      <c r="S23" s="1">
        <v>5</v>
      </c>
    </row>
    <row r="24" spans="1:20" ht="14.25" hidden="1" customHeight="1" x14ac:dyDescent="0.2">
      <c r="A24" s="1" t="s">
        <v>307</v>
      </c>
      <c r="B24" s="1" t="s">
        <v>485</v>
      </c>
      <c r="C24" s="1">
        <v>9</v>
      </c>
      <c r="D24" s="6">
        <v>499991</v>
      </c>
      <c r="E24" s="1" t="s">
        <v>250</v>
      </c>
      <c r="F24" s="1" t="str">
        <f t="shared" si="0"/>
        <v>C17</v>
      </c>
      <c r="G24" s="1" t="s">
        <v>509</v>
      </c>
      <c r="H24" s="1" t="s">
        <v>486</v>
      </c>
      <c r="I24" s="1">
        <v>2024</v>
      </c>
      <c r="J24" s="1" t="s">
        <v>500</v>
      </c>
      <c r="P24" s="1" t="s">
        <v>490</v>
      </c>
      <c r="Q24" s="1">
        <v>0</v>
      </c>
      <c r="R24" s="1">
        <v>2</v>
      </c>
      <c r="S24" s="1">
        <v>1</v>
      </c>
    </row>
    <row r="25" spans="1:20" ht="14.25" hidden="1" customHeight="1" x14ac:dyDescent="0.2">
      <c r="A25" s="1" t="s">
        <v>307</v>
      </c>
      <c r="B25" s="1" t="s">
        <v>485</v>
      </c>
      <c r="C25" s="1">
        <v>9</v>
      </c>
      <c r="D25" s="6">
        <v>499991</v>
      </c>
      <c r="E25" s="1" t="s">
        <v>252</v>
      </c>
      <c r="F25" s="1" t="str">
        <f t="shared" si="0"/>
        <v>C18</v>
      </c>
      <c r="G25" s="1" t="s">
        <v>510</v>
      </c>
      <c r="H25" s="1" t="s">
        <v>486</v>
      </c>
      <c r="I25" s="1">
        <v>2024</v>
      </c>
      <c r="J25" s="1" t="s">
        <v>500</v>
      </c>
      <c r="P25" s="1" t="s">
        <v>490</v>
      </c>
      <c r="Q25" s="1">
        <v>3</v>
      </c>
      <c r="R25" s="1">
        <v>3</v>
      </c>
      <c r="S25" s="1">
        <v>1</v>
      </c>
    </row>
    <row r="26" spans="1:20" ht="14.25" hidden="1" customHeight="1" x14ac:dyDescent="0.2">
      <c r="A26" s="1" t="s">
        <v>307</v>
      </c>
      <c r="B26" s="1" t="s">
        <v>485</v>
      </c>
      <c r="C26" s="1">
        <v>9</v>
      </c>
      <c r="D26" s="6">
        <v>499991</v>
      </c>
      <c r="E26" s="1" t="s">
        <v>254</v>
      </c>
      <c r="F26" s="1" t="str">
        <f t="shared" si="0"/>
        <v>C19</v>
      </c>
      <c r="G26" s="1" t="s">
        <v>495</v>
      </c>
      <c r="H26" s="1" t="s">
        <v>486</v>
      </c>
      <c r="I26" s="1">
        <v>2024</v>
      </c>
      <c r="J26" s="1" t="s">
        <v>500</v>
      </c>
      <c r="P26" s="1" t="s">
        <v>490</v>
      </c>
      <c r="Q26" s="1">
        <v>1</v>
      </c>
      <c r="R26" s="1">
        <v>1</v>
      </c>
      <c r="S26" s="1">
        <v>1</v>
      </c>
    </row>
    <row r="27" spans="1:20" ht="14.25" hidden="1" customHeight="1" x14ac:dyDescent="0.2">
      <c r="A27" s="1" t="s">
        <v>308</v>
      </c>
      <c r="B27" s="1" t="s">
        <v>485</v>
      </c>
      <c r="C27" s="1">
        <v>9</v>
      </c>
      <c r="D27" s="6">
        <v>328144</v>
      </c>
      <c r="E27" s="1" t="s">
        <v>164</v>
      </c>
      <c r="F27" s="1" t="str">
        <f t="shared" si="0"/>
        <v>A01</v>
      </c>
      <c r="G27" s="1" t="s">
        <v>165</v>
      </c>
      <c r="H27" s="1" t="s">
        <v>486</v>
      </c>
      <c r="I27" s="1">
        <v>2024</v>
      </c>
      <c r="J27" s="1" t="s">
        <v>496</v>
      </c>
      <c r="K27" s="1" t="s">
        <v>488</v>
      </c>
      <c r="L27" s="1" t="s">
        <v>489</v>
      </c>
      <c r="P27" s="1" t="s">
        <v>490</v>
      </c>
      <c r="Q27" s="1">
        <v>2</v>
      </c>
      <c r="R27" s="1">
        <v>3</v>
      </c>
      <c r="S27" s="1">
        <v>4</v>
      </c>
    </row>
    <row r="28" spans="1:20" ht="14.25" hidden="1" customHeight="1" x14ac:dyDescent="0.2">
      <c r="A28" s="1" t="s">
        <v>308</v>
      </c>
      <c r="B28" s="1" t="s">
        <v>485</v>
      </c>
      <c r="C28" s="1">
        <v>9</v>
      </c>
      <c r="D28" s="6">
        <v>328144</v>
      </c>
      <c r="E28" s="1" t="s">
        <v>164</v>
      </c>
      <c r="F28" s="1" t="str">
        <f t="shared" si="0"/>
        <v>A01</v>
      </c>
      <c r="G28" s="1" t="s">
        <v>165</v>
      </c>
      <c r="H28" s="1" t="s">
        <v>486</v>
      </c>
      <c r="I28" s="1">
        <v>2024</v>
      </c>
      <c r="J28" s="1" t="s">
        <v>496</v>
      </c>
      <c r="K28" s="1" t="s">
        <v>491</v>
      </c>
      <c r="L28" s="1" t="s">
        <v>489</v>
      </c>
      <c r="P28" s="1" t="s">
        <v>490</v>
      </c>
      <c r="Q28" s="1">
        <v>5</v>
      </c>
      <c r="R28" s="1">
        <v>14</v>
      </c>
      <c r="S28" s="1">
        <v>15</v>
      </c>
    </row>
    <row r="29" spans="1:20" ht="14.25" hidden="1" customHeight="1" x14ac:dyDescent="0.2">
      <c r="A29" s="1" t="s">
        <v>308</v>
      </c>
      <c r="B29" s="1" t="s">
        <v>485</v>
      </c>
      <c r="C29" s="1">
        <v>9</v>
      </c>
      <c r="D29" s="6">
        <v>328144</v>
      </c>
      <c r="E29" s="1" t="s">
        <v>188</v>
      </c>
      <c r="F29" s="1" t="str">
        <f t="shared" si="0"/>
        <v>B01</v>
      </c>
      <c r="G29" s="1" t="s">
        <v>511</v>
      </c>
      <c r="H29" s="1" t="s">
        <v>486</v>
      </c>
      <c r="I29" s="1">
        <v>2024</v>
      </c>
      <c r="J29" s="1" t="s">
        <v>496</v>
      </c>
      <c r="O29" s="1" t="s">
        <v>512</v>
      </c>
      <c r="P29" s="1" t="s">
        <v>490</v>
      </c>
      <c r="Q29" s="1">
        <v>4</v>
      </c>
      <c r="R29" s="1">
        <v>4</v>
      </c>
      <c r="S29" s="1">
        <v>4</v>
      </c>
    </row>
    <row r="30" spans="1:20" ht="14.25" hidden="1" customHeight="1" x14ac:dyDescent="0.2">
      <c r="A30" s="1" t="s">
        <v>308</v>
      </c>
      <c r="B30" s="1" t="s">
        <v>485</v>
      </c>
      <c r="C30" s="1">
        <v>9</v>
      </c>
      <c r="D30" s="6">
        <v>328144</v>
      </c>
      <c r="E30" s="1" t="s">
        <v>188</v>
      </c>
      <c r="F30" s="1" t="str">
        <f t="shared" si="0"/>
        <v>B01</v>
      </c>
      <c r="G30" s="1" t="s">
        <v>511</v>
      </c>
      <c r="H30" s="1" t="s">
        <v>486</v>
      </c>
      <c r="I30" s="1">
        <v>2024</v>
      </c>
      <c r="J30" s="1" t="s">
        <v>496</v>
      </c>
      <c r="O30" s="1" t="s">
        <v>513</v>
      </c>
      <c r="P30" s="1" t="s">
        <v>490</v>
      </c>
      <c r="Q30" s="1">
        <v>2</v>
      </c>
      <c r="R30" s="1">
        <v>2</v>
      </c>
      <c r="S30" s="1">
        <v>2</v>
      </c>
    </row>
    <row r="31" spans="1:20" ht="14.25" customHeight="1" x14ac:dyDescent="0.2">
      <c r="A31" s="1" t="s">
        <v>308</v>
      </c>
      <c r="B31" s="1" t="s">
        <v>485</v>
      </c>
      <c r="C31" s="1">
        <v>9</v>
      </c>
      <c r="D31" s="6">
        <v>328144</v>
      </c>
      <c r="E31" s="1" t="s">
        <v>257</v>
      </c>
      <c r="F31" s="1" t="str">
        <f t="shared" si="0"/>
        <v>D01</v>
      </c>
      <c r="G31" s="1" t="s">
        <v>514</v>
      </c>
      <c r="H31" s="1" t="s">
        <v>486</v>
      </c>
      <c r="I31" s="1">
        <v>2024</v>
      </c>
      <c r="J31" s="1" t="s">
        <v>496</v>
      </c>
      <c r="M31" s="1" t="s">
        <v>515</v>
      </c>
      <c r="N31" s="1" t="s">
        <v>515</v>
      </c>
      <c r="P31" s="1" t="s">
        <v>490</v>
      </c>
      <c r="Q31" s="1">
        <v>0</v>
      </c>
      <c r="R31" s="1" t="s">
        <v>490</v>
      </c>
      <c r="S31" s="1">
        <v>7850</v>
      </c>
      <c r="T31" s="1" t="s">
        <v>516</v>
      </c>
    </row>
    <row r="32" spans="1:20" ht="14.25" hidden="1" customHeight="1" x14ac:dyDescent="0.2">
      <c r="A32" s="1" t="s">
        <v>106</v>
      </c>
      <c r="B32" s="1" t="s">
        <v>485</v>
      </c>
      <c r="C32" s="1">
        <v>9</v>
      </c>
      <c r="D32" s="6">
        <v>80000</v>
      </c>
      <c r="E32" s="1" t="s">
        <v>164</v>
      </c>
      <c r="F32" s="1" t="str">
        <f t="shared" si="0"/>
        <v>A01</v>
      </c>
      <c r="G32" s="1" t="s">
        <v>165</v>
      </c>
      <c r="H32" s="1" t="s">
        <v>486</v>
      </c>
      <c r="I32" s="1">
        <v>2024</v>
      </c>
      <c r="J32" s="1" t="s">
        <v>517</v>
      </c>
      <c r="K32" s="1" t="s">
        <v>488</v>
      </c>
      <c r="L32" s="1" t="s">
        <v>489</v>
      </c>
      <c r="P32" s="1" t="s">
        <v>490</v>
      </c>
      <c r="Q32" s="1">
        <v>16</v>
      </c>
      <c r="R32" s="1">
        <v>39</v>
      </c>
      <c r="S32" s="1" t="s">
        <v>490</v>
      </c>
      <c r="T32" s="1" t="s">
        <v>518</v>
      </c>
    </row>
    <row r="33" spans="1:20" ht="14.25" hidden="1" customHeight="1" x14ac:dyDescent="0.2">
      <c r="A33" s="1" t="s">
        <v>106</v>
      </c>
      <c r="B33" s="1" t="s">
        <v>485</v>
      </c>
      <c r="C33" s="1">
        <v>10</v>
      </c>
      <c r="D33" s="6">
        <v>80000</v>
      </c>
      <c r="E33" s="1" t="s">
        <v>164</v>
      </c>
      <c r="F33" s="1" t="str">
        <f t="shared" si="0"/>
        <v>A01</v>
      </c>
      <c r="G33" s="1" t="s">
        <v>165</v>
      </c>
      <c r="H33" s="1" t="s">
        <v>486</v>
      </c>
      <c r="I33" s="1">
        <v>2024</v>
      </c>
      <c r="J33" s="1" t="s">
        <v>517</v>
      </c>
      <c r="K33" s="1" t="s">
        <v>491</v>
      </c>
      <c r="L33" s="1" t="s">
        <v>489</v>
      </c>
      <c r="P33" s="1" t="s">
        <v>490</v>
      </c>
      <c r="Q33" s="1">
        <v>38</v>
      </c>
      <c r="R33" s="1">
        <v>70</v>
      </c>
      <c r="S33" s="1" t="s">
        <v>490</v>
      </c>
      <c r="T33" s="1" t="s">
        <v>518</v>
      </c>
    </row>
    <row r="34" spans="1:20" ht="14.25" hidden="1" customHeight="1" x14ac:dyDescent="0.2">
      <c r="A34" s="1" t="s">
        <v>309</v>
      </c>
      <c r="B34" s="1" t="s">
        <v>485</v>
      </c>
      <c r="C34" s="1">
        <v>10</v>
      </c>
      <c r="D34" s="6">
        <v>77850</v>
      </c>
      <c r="E34" s="1" t="s">
        <v>188</v>
      </c>
      <c r="F34" s="1" t="str">
        <f t="shared" si="0"/>
        <v>B01</v>
      </c>
      <c r="G34" s="1" t="s">
        <v>511</v>
      </c>
      <c r="H34" s="1" t="s">
        <v>486</v>
      </c>
      <c r="I34" s="1">
        <v>2024</v>
      </c>
      <c r="J34" s="1" t="s">
        <v>519</v>
      </c>
      <c r="P34" s="1" t="s">
        <v>490</v>
      </c>
      <c r="Q34" s="1">
        <v>0</v>
      </c>
      <c r="R34" s="1">
        <v>0</v>
      </c>
      <c r="S34" s="1">
        <v>1</v>
      </c>
    </row>
    <row r="35" spans="1:20" ht="14.25" hidden="1" customHeight="1" x14ac:dyDescent="0.2">
      <c r="A35" s="1" t="s">
        <v>309</v>
      </c>
      <c r="B35" s="1" t="s">
        <v>485</v>
      </c>
      <c r="C35" s="1">
        <v>10</v>
      </c>
      <c r="D35" s="6">
        <v>77850</v>
      </c>
      <c r="E35" s="1" t="s">
        <v>190</v>
      </c>
      <c r="F35" s="1" t="str">
        <f t="shared" si="0"/>
        <v>B02</v>
      </c>
      <c r="G35" s="1" t="s">
        <v>498</v>
      </c>
      <c r="H35" s="1" t="s">
        <v>486</v>
      </c>
      <c r="I35" s="1">
        <v>2024</v>
      </c>
      <c r="J35" s="1" t="s">
        <v>519</v>
      </c>
      <c r="P35" s="1" t="s">
        <v>490</v>
      </c>
      <c r="Q35" s="1">
        <v>0</v>
      </c>
      <c r="R35" s="1">
        <v>0</v>
      </c>
      <c r="S35" s="1">
        <v>5</v>
      </c>
    </row>
    <row r="36" spans="1:20" ht="14.25" hidden="1" customHeight="1" x14ac:dyDescent="0.2">
      <c r="A36" s="1" t="s">
        <v>309</v>
      </c>
      <c r="B36" s="1" t="s">
        <v>485</v>
      </c>
      <c r="C36" s="1">
        <v>10</v>
      </c>
      <c r="D36" s="6">
        <v>77850</v>
      </c>
      <c r="E36" s="1" t="s">
        <v>217</v>
      </c>
      <c r="F36" s="1" t="str">
        <f t="shared" si="0"/>
        <v>C02</v>
      </c>
      <c r="G36" s="1" t="s">
        <v>493</v>
      </c>
      <c r="H36" s="1" t="s">
        <v>486</v>
      </c>
      <c r="I36" s="1">
        <v>2024</v>
      </c>
      <c r="J36" s="1" t="s">
        <v>519</v>
      </c>
      <c r="P36" s="1" t="s">
        <v>490</v>
      </c>
      <c r="Q36" s="1">
        <v>0</v>
      </c>
      <c r="R36" s="1">
        <v>0</v>
      </c>
      <c r="S36" s="1">
        <v>5</v>
      </c>
    </row>
    <row r="37" spans="1:20" ht="14.25" hidden="1" customHeight="1" x14ac:dyDescent="0.2">
      <c r="A37" s="1" t="s">
        <v>309</v>
      </c>
      <c r="B37" s="1" t="s">
        <v>485</v>
      </c>
      <c r="C37" s="1">
        <v>10</v>
      </c>
      <c r="D37" s="6">
        <v>77850</v>
      </c>
      <c r="E37" s="1" t="s">
        <v>263</v>
      </c>
      <c r="F37" s="1" t="str">
        <f t="shared" si="0"/>
        <v>D04</v>
      </c>
      <c r="G37" s="1" t="s">
        <v>520</v>
      </c>
      <c r="H37" s="1" t="s">
        <v>486</v>
      </c>
      <c r="I37" s="1">
        <v>2024</v>
      </c>
      <c r="J37" s="1" t="s">
        <v>519</v>
      </c>
      <c r="P37" s="1" t="s">
        <v>490</v>
      </c>
      <c r="Q37" s="1">
        <v>0</v>
      </c>
      <c r="R37" s="1">
        <v>0</v>
      </c>
      <c r="S37" s="1">
        <v>2</v>
      </c>
    </row>
    <row r="38" spans="1:20" ht="14.25" hidden="1" customHeight="1" x14ac:dyDescent="0.2">
      <c r="A38" s="1" t="s">
        <v>310</v>
      </c>
      <c r="B38" s="1" t="s">
        <v>485</v>
      </c>
      <c r="C38" s="1">
        <v>10</v>
      </c>
      <c r="D38" s="6">
        <v>160900</v>
      </c>
      <c r="E38" s="1" t="s">
        <v>164</v>
      </c>
      <c r="F38" s="1" t="str">
        <f t="shared" si="0"/>
        <v>A01</v>
      </c>
      <c r="G38" s="1" t="s">
        <v>165</v>
      </c>
      <c r="H38" s="1" t="s">
        <v>486</v>
      </c>
      <c r="I38" s="1">
        <v>2024</v>
      </c>
      <c r="J38" s="1" t="s">
        <v>521</v>
      </c>
      <c r="P38" s="1" t="s">
        <v>490</v>
      </c>
      <c r="Q38" s="1">
        <v>20</v>
      </c>
      <c r="R38" s="1">
        <v>100</v>
      </c>
      <c r="S38" s="1">
        <v>100</v>
      </c>
      <c r="T38" s="1" t="s">
        <v>522</v>
      </c>
    </row>
    <row r="39" spans="1:20" ht="14.25" hidden="1" customHeight="1" x14ac:dyDescent="0.2">
      <c r="A39" s="1" t="s">
        <v>310</v>
      </c>
      <c r="B39" s="1" t="s">
        <v>485</v>
      </c>
      <c r="C39" s="1">
        <v>10</v>
      </c>
      <c r="D39" s="6">
        <v>160900</v>
      </c>
      <c r="E39" s="1" t="s">
        <v>169</v>
      </c>
      <c r="F39" s="1" t="str">
        <f t="shared" si="0"/>
        <v>A03</v>
      </c>
      <c r="G39" s="1" t="s">
        <v>170</v>
      </c>
      <c r="H39" s="1" t="s">
        <v>486</v>
      </c>
      <c r="I39" s="1">
        <v>2024</v>
      </c>
      <c r="J39" s="1" t="s">
        <v>521</v>
      </c>
      <c r="P39" s="1" t="s">
        <v>490</v>
      </c>
      <c r="Q39" s="1">
        <v>0</v>
      </c>
      <c r="R39" s="1">
        <v>8</v>
      </c>
      <c r="S39" s="1">
        <v>8</v>
      </c>
    </row>
    <row r="40" spans="1:20" ht="14.25" hidden="1" customHeight="1" x14ac:dyDescent="0.2">
      <c r="A40" s="1" t="s">
        <v>310</v>
      </c>
      <c r="B40" s="1" t="s">
        <v>485</v>
      </c>
      <c r="C40" s="1">
        <v>10</v>
      </c>
      <c r="D40" s="6">
        <v>160900</v>
      </c>
      <c r="E40" s="1" t="s">
        <v>171</v>
      </c>
      <c r="F40" s="1" t="str">
        <f t="shared" si="0"/>
        <v>A04</v>
      </c>
      <c r="G40" s="1" t="s">
        <v>523</v>
      </c>
      <c r="H40" s="1" t="s">
        <v>486</v>
      </c>
      <c r="I40" s="1">
        <v>2024</v>
      </c>
      <c r="J40" s="1" t="s">
        <v>521</v>
      </c>
      <c r="K40" s="1" t="s">
        <v>488</v>
      </c>
      <c r="L40" s="1" t="s">
        <v>489</v>
      </c>
      <c r="P40" s="1" t="s">
        <v>490</v>
      </c>
      <c r="Q40" s="1">
        <v>0</v>
      </c>
      <c r="R40" s="1">
        <v>3</v>
      </c>
      <c r="S40" s="1">
        <v>20</v>
      </c>
    </row>
    <row r="41" spans="1:20" ht="14.25" hidden="1" customHeight="1" x14ac:dyDescent="0.2">
      <c r="A41" s="1" t="s">
        <v>310</v>
      </c>
      <c r="B41" s="1" t="s">
        <v>485</v>
      </c>
      <c r="C41" s="1">
        <v>10</v>
      </c>
      <c r="D41" s="6">
        <v>160900</v>
      </c>
      <c r="E41" s="1" t="s">
        <v>171</v>
      </c>
      <c r="F41" s="1" t="str">
        <f t="shared" si="0"/>
        <v>A04</v>
      </c>
      <c r="G41" s="1" t="s">
        <v>523</v>
      </c>
      <c r="H41" s="1" t="s">
        <v>486</v>
      </c>
      <c r="I41" s="1">
        <v>2024</v>
      </c>
      <c r="J41" s="1" t="s">
        <v>521</v>
      </c>
      <c r="K41" s="1" t="s">
        <v>491</v>
      </c>
      <c r="L41" s="1" t="s">
        <v>489</v>
      </c>
      <c r="P41" s="1" t="s">
        <v>490</v>
      </c>
      <c r="Q41" s="1">
        <v>0</v>
      </c>
      <c r="R41" s="1">
        <v>0</v>
      </c>
      <c r="S41" s="1">
        <v>0</v>
      </c>
    </row>
    <row r="42" spans="1:20" ht="14.25" hidden="1" customHeight="1" x14ac:dyDescent="0.2">
      <c r="A42" s="1" t="s">
        <v>310</v>
      </c>
      <c r="B42" s="1" t="s">
        <v>485</v>
      </c>
      <c r="C42" s="1">
        <v>10</v>
      </c>
      <c r="D42" s="6">
        <v>160900</v>
      </c>
      <c r="E42" s="1" t="s">
        <v>174</v>
      </c>
      <c r="F42" s="1" t="str">
        <f t="shared" si="0"/>
        <v>A05</v>
      </c>
      <c r="G42" s="1" t="s">
        <v>175</v>
      </c>
      <c r="H42" s="1" t="s">
        <v>486</v>
      </c>
      <c r="I42" s="1">
        <v>2024</v>
      </c>
      <c r="J42" s="1" t="s">
        <v>521</v>
      </c>
      <c r="K42" s="1" t="s">
        <v>488</v>
      </c>
      <c r="L42" s="1" t="s">
        <v>489</v>
      </c>
      <c r="P42" s="1" t="s">
        <v>490</v>
      </c>
      <c r="Q42" s="1">
        <v>0</v>
      </c>
      <c r="R42" s="1">
        <v>3</v>
      </c>
      <c r="S42" s="1">
        <v>4</v>
      </c>
      <c r="T42" s="1" t="s">
        <v>524</v>
      </c>
    </row>
    <row r="43" spans="1:20" ht="14.25" hidden="1" customHeight="1" x14ac:dyDescent="0.2">
      <c r="A43" s="1" t="s">
        <v>310</v>
      </c>
      <c r="B43" s="1" t="s">
        <v>485</v>
      </c>
      <c r="C43" s="1">
        <v>10</v>
      </c>
      <c r="D43" s="6">
        <v>160900</v>
      </c>
      <c r="E43" s="1" t="s">
        <v>174</v>
      </c>
      <c r="F43" s="1" t="str">
        <f t="shared" si="0"/>
        <v>A05</v>
      </c>
      <c r="G43" s="1" t="s">
        <v>175</v>
      </c>
      <c r="H43" s="1" t="s">
        <v>486</v>
      </c>
      <c r="I43" s="1">
        <v>2024</v>
      </c>
      <c r="J43" s="1" t="s">
        <v>521</v>
      </c>
      <c r="K43" s="1" t="s">
        <v>491</v>
      </c>
      <c r="L43" s="1" t="s">
        <v>489</v>
      </c>
      <c r="P43" s="1" t="s">
        <v>490</v>
      </c>
      <c r="Q43" s="1">
        <v>0</v>
      </c>
      <c r="R43" s="1">
        <v>1</v>
      </c>
      <c r="S43" s="1">
        <v>4</v>
      </c>
      <c r="T43" s="1" t="s">
        <v>524</v>
      </c>
    </row>
    <row r="44" spans="1:20" ht="14.25" hidden="1" customHeight="1" x14ac:dyDescent="0.2">
      <c r="A44" s="1" t="s">
        <v>310</v>
      </c>
      <c r="B44" s="1" t="s">
        <v>485</v>
      </c>
      <c r="C44" s="1">
        <v>10</v>
      </c>
      <c r="D44" s="6">
        <v>160900</v>
      </c>
      <c r="E44" s="1" t="s">
        <v>179</v>
      </c>
      <c r="F44" s="1" t="str">
        <f t="shared" si="0"/>
        <v>A07</v>
      </c>
      <c r="G44" s="1" t="s">
        <v>492</v>
      </c>
      <c r="H44" s="1" t="s">
        <v>486</v>
      </c>
      <c r="I44" s="1">
        <v>2024</v>
      </c>
      <c r="J44" s="1" t="s">
        <v>521</v>
      </c>
      <c r="P44" s="1" t="s">
        <v>490</v>
      </c>
      <c r="Q44" s="1">
        <v>0</v>
      </c>
      <c r="R44" s="1">
        <v>6</v>
      </c>
      <c r="S44" s="1">
        <v>6</v>
      </c>
    </row>
    <row r="45" spans="1:20" ht="14.25" hidden="1" customHeight="1" x14ac:dyDescent="0.2">
      <c r="A45" s="1" t="s">
        <v>310</v>
      </c>
      <c r="B45" s="1" t="s">
        <v>485</v>
      </c>
      <c r="C45" s="1">
        <v>10</v>
      </c>
      <c r="D45" s="6">
        <v>160900</v>
      </c>
      <c r="E45" s="1" t="s">
        <v>238</v>
      </c>
      <c r="F45" s="1" t="str">
        <f t="shared" si="0"/>
        <v>C12</v>
      </c>
      <c r="G45" s="1" t="s">
        <v>525</v>
      </c>
      <c r="H45" s="1" t="s">
        <v>486</v>
      </c>
      <c r="I45" s="1">
        <v>2024</v>
      </c>
      <c r="J45" s="1" t="s">
        <v>521</v>
      </c>
      <c r="P45" s="1" t="s">
        <v>490</v>
      </c>
      <c r="Q45" s="1">
        <v>8</v>
      </c>
      <c r="R45" s="1">
        <v>27</v>
      </c>
      <c r="S45" s="1">
        <v>24</v>
      </c>
    </row>
    <row r="46" spans="1:20" ht="14.25" hidden="1" customHeight="1" x14ac:dyDescent="0.2">
      <c r="A46" s="1" t="s">
        <v>310</v>
      </c>
      <c r="B46" s="1" t="s">
        <v>485</v>
      </c>
      <c r="C46" s="1">
        <v>10</v>
      </c>
      <c r="D46" s="6">
        <v>160900</v>
      </c>
      <c r="E46" s="1" t="s">
        <v>243</v>
      </c>
      <c r="F46" s="1" t="str">
        <f t="shared" si="0"/>
        <v>C14</v>
      </c>
      <c r="G46" s="1" t="s">
        <v>526</v>
      </c>
      <c r="H46" s="1" t="s">
        <v>486</v>
      </c>
      <c r="I46" s="1">
        <v>2024</v>
      </c>
      <c r="J46" s="1" t="s">
        <v>521</v>
      </c>
      <c r="K46" s="1" t="s">
        <v>488</v>
      </c>
      <c r="L46" s="1" t="s">
        <v>489</v>
      </c>
      <c r="P46" s="1" t="s">
        <v>490</v>
      </c>
      <c r="Q46" s="1">
        <v>0</v>
      </c>
      <c r="R46" s="1">
        <v>8</v>
      </c>
      <c r="S46" s="1">
        <v>8</v>
      </c>
    </row>
    <row r="47" spans="1:20" ht="14.25" hidden="1" customHeight="1" x14ac:dyDescent="0.2">
      <c r="A47" s="1" t="s">
        <v>310</v>
      </c>
      <c r="B47" s="1" t="s">
        <v>485</v>
      </c>
      <c r="C47" s="1">
        <v>10</v>
      </c>
      <c r="D47" s="6">
        <v>160900</v>
      </c>
      <c r="E47" s="1" t="s">
        <v>243</v>
      </c>
      <c r="F47" s="1" t="str">
        <f t="shared" si="0"/>
        <v>C14</v>
      </c>
      <c r="G47" s="1" t="s">
        <v>526</v>
      </c>
      <c r="H47" s="1" t="s">
        <v>486</v>
      </c>
      <c r="I47" s="1">
        <v>2024</v>
      </c>
      <c r="J47" s="1" t="s">
        <v>521</v>
      </c>
      <c r="K47" s="1" t="s">
        <v>491</v>
      </c>
      <c r="L47" s="1" t="s">
        <v>489</v>
      </c>
      <c r="P47" s="1" t="s">
        <v>490</v>
      </c>
      <c r="Q47" s="1">
        <v>0</v>
      </c>
      <c r="R47" s="1">
        <v>7</v>
      </c>
      <c r="S47" s="1">
        <v>7</v>
      </c>
    </row>
    <row r="48" spans="1:20" ht="14.25" hidden="1" customHeight="1" x14ac:dyDescent="0.2">
      <c r="A48" s="1" t="s">
        <v>310</v>
      </c>
      <c r="B48" s="1" t="s">
        <v>485</v>
      </c>
      <c r="C48" s="1">
        <v>10</v>
      </c>
      <c r="D48" s="6">
        <v>160900</v>
      </c>
      <c r="E48" s="1" t="s">
        <v>245</v>
      </c>
      <c r="F48" s="1" t="str">
        <f t="shared" si="0"/>
        <v>C15</v>
      </c>
      <c r="G48" s="1" t="s">
        <v>508</v>
      </c>
      <c r="H48" s="1" t="s">
        <v>486</v>
      </c>
      <c r="I48" s="1">
        <v>2024</v>
      </c>
      <c r="J48" s="1" t="s">
        <v>521</v>
      </c>
      <c r="P48" s="1" t="s">
        <v>490</v>
      </c>
      <c r="Q48" s="1">
        <v>0</v>
      </c>
      <c r="R48" s="1">
        <v>7</v>
      </c>
      <c r="S48" s="1">
        <v>4</v>
      </c>
    </row>
    <row r="49" spans="1:20" ht="14.25" hidden="1" customHeight="1" x14ac:dyDescent="0.2">
      <c r="A49" s="1" t="s">
        <v>310</v>
      </c>
      <c r="B49" s="1" t="s">
        <v>485</v>
      </c>
      <c r="C49" s="1">
        <v>10</v>
      </c>
      <c r="D49" s="6">
        <v>160900</v>
      </c>
      <c r="E49" s="1" t="s">
        <v>254</v>
      </c>
      <c r="F49" s="1" t="str">
        <f t="shared" si="0"/>
        <v>C19</v>
      </c>
      <c r="G49" s="1" t="s">
        <v>495</v>
      </c>
      <c r="H49" s="1" t="s">
        <v>486</v>
      </c>
      <c r="I49" s="1">
        <v>2024</v>
      </c>
      <c r="J49" s="1" t="s">
        <v>521</v>
      </c>
      <c r="P49" s="1" t="s">
        <v>490</v>
      </c>
      <c r="Q49" s="1">
        <v>0</v>
      </c>
      <c r="R49" s="1">
        <v>8</v>
      </c>
      <c r="S49" s="1">
        <v>9</v>
      </c>
    </row>
    <row r="50" spans="1:20" ht="14.25" hidden="1" customHeight="1" x14ac:dyDescent="0.2">
      <c r="A50" s="1" t="s">
        <v>311</v>
      </c>
      <c r="B50" s="1" t="s">
        <v>485</v>
      </c>
      <c r="C50" s="1">
        <v>10</v>
      </c>
      <c r="D50" s="6">
        <v>285415</v>
      </c>
      <c r="E50" s="1" t="s">
        <v>164</v>
      </c>
      <c r="F50" s="1" t="str">
        <f t="shared" si="0"/>
        <v>A01</v>
      </c>
      <c r="G50" s="1" t="s">
        <v>165</v>
      </c>
      <c r="H50" s="1" t="s">
        <v>486</v>
      </c>
      <c r="I50" s="1">
        <v>2024</v>
      </c>
      <c r="J50" s="1" t="s">
        <v>519</v>
      </c>
      <c r="P50" s="1" t="s">
        <v>490</v>
      </c>
      <c r="Q50" s="1">
        <v>5</v>
      </c>
      <c r="R50" s="1">
        <v>7</v>
      </c>
      <c r="S50" s="1">
        <v>1</v>
      </c>
      <c r="T50" s="1" t="s">
        <v>527</v>
      </c>
    </row>
    <row r="51" spans="1:20" ht="14.25" hidden="1" customHeight="1" x14ac:dyDescent="0.2">
      <c r="A51" s="1" t="s">
        <v>311</v>
      </c>
      <c r="B51" s="1" t="s">
        <v>485</v>
      </c>
      <c r="C51" s="1">
        <v>10</v>
      </c>
      <c r="D51" s="6">
        <v>285415</v>
      </c>
      <c r="E51" s="1" t="s">
        <v>169</v>
      </c>
      <c r="F51" s="1" t="str">
        <f t="shared" si="0"/>
        <v>A03</v>
      </c>
      <c r="G51" s="1" t="s">
        <v>170</v>
      </c>
      <c r="H51" s="1" t="s">
        <v>486</v>
      </c>
      <c r="I51" s="1">
        <v>2024</v>
      </c>
      <c r="J51" s="1" t="s">
        <v>519</v>
      </c>
      <c r="P51" s="1" t="s">
        <v>490</v>
      </c>
      <c r="Q51" s="1">
        <v>1</v>
      </c>
      <c r="R51" s="1">
        <v>1</v>
      </c>
      <c r="S51" s="1">
        <v>1</v>
      </c>
    </row>
    <row r="52" spans="1:20" ht="14.25" hidden="1" customHeight="1" x14ac:dyDescent="0.2">
      <c r="A52" s="1" t="s">
        <v>311</v>
      </c>
      <c r="B52" s="1" t="s">
        <v>485</v>
      </c>
      <c r="C52" s="1">
        <v>10</v>
      </c>
      <c r="D52" s="6">
        <v>285415</v>
      </c>
      <c r="E52" s="1" t="s">
        <v>223</v>
      </c>
      <c r="F52" s="1" t="str">
        <f t="shared" si="0"/>
        <v>C05</v>
      </c>
      <c r="G52" s="1" t="s">
        <v>528</v>
      </c>
      <c r="H52" s="1" t="s">
        <v>486</v>
      </c>
      <c r="I52" s="1">
        <v>2024</v>
      </c>
      <c r="J52" s="1" t="s">
        <v>519</v>
      </c>
      <c r="P52" s="1" t="s">
        <v>490</v>
      </c>
      <c r="Q52" s="1">
        <v>1</v>
      </c>
      <c r="R52" s="1">
        <v>1</v>
      </c>
      <c r="S52" s="1">
        <v>1</v>
      </c>
    </row>
    <row r="53" spans="1:20" ht="14.25" hidden="1" customHeight="1" x14ac:dyDescent="0.2">
      <c r="A53" s="1" t="s">
        <v>311</v>
      </c>
      <c r="B53" s="1" t="s">
        <v>485</v>
      </c>
      <c r="C53" s="1">
        <v>10</v>
      </c>
      <c r="D53" s="6">
        <v>285415</v>
      </c>
      <c r="E53" s="1" t="s">
        <v>245</v>
      </c>
      <c r="F53" s="1" t="str">
        <f t="shared" si="0"/>
        <v>C15</v>
      </c>
      <c r="G53" s="1" t="s">
        <v>508</v>
      </c>
      <c r="H53" s="1" t="s">
        <v>486</v>
      </c>
      <c r="I53" s="1">
        <v>2024</v>
      </c>
      <c r="J53" s="1" t="s">
        <v>519</v>
      </c>
      <c r="P53" s="1" t="s">
        <v>490</v>
      </c>
      <c r="Q53" s="1">
        <v>14</v>
      </c>
      <c r="R53" s="1">
        <v>37</v>
      </c>
      <c r="S53" s="1" t="s">
        <v>490</v>
      </c>
    </row>
    <row r="54" spans="1:20" ht="14.25" hidden="1" customHeight="1" x14ac:dyDescent="0.2">
      <c r="A54" s="1" t="s">
        <v>312</v>
      </c>
      <c r="B54" s="1" t="s">
        <v>485</v>
      </c>
      <c r="C54" s="1">
        <v>10</v>
      </c>
      <c r="D54" s="6">
        <v>492904</v>
      </c>
      <c r="E54" s="1" t="s">
        <v>164</v>
      </c>
      <c r="F54" s="1" t="str">
        <f t="shared" si="0"/>
        <v>A01</v>
      </c>
      <c r="G54" s="1" t="s">
        <v>165</v>
      </c>
      <c r="H54" s="1" t="s">
        <v>486</v>
      </c>
      <c r="I54" s="1">
        <v>2024</v>
      </c>
      <c r="J54" s="1" t="s">
        <v>529</v>
      </c>
      <c r="P54" s="1" t="s">
        <v>490</v>
      </c>
      <c r="Q54" s="1">
        <v>0</v>
      </c>
      <c r="R54" s="1">
        <v>7</v>
      </c>
      <c r="S54" s="1">
        <v>6</v>
      </c>
    </row>
    <row r="55" spans="1:20" ht="14.25" hidden="1" customHeight="1" x14ac:dyDescent="0.2">
      <c r="A55" s="1" t="s">
        <v>312</v>
      </c>
      <c r="B55" s="1" t="s">
        <v>485</v>
      </c>
      <c r="C55" s="1">
        <v>10</v>
      </c>
      <c r="D55" s="6">
        <v>492904</v>
      </c>
      <c r="E55" s="1" t="s">
        <v>169</v>
      </c>
      <c r="F55" s="1" t="str">
        <f t="shared" si="0"/>
        <v>A03</v>
      </c>
      <c r="G55" s="1" t="s">
        <v>170</v>
      </c>
      <c r="H55" s="1" t="s">
        <v>486</v>
      </c>
      <c r="I55" s="1">
        <v>2024</v>
      </c>
      <c r="J55" s="1" t="s">
        <v>529</v>
      </c>
      <c r="P55" s="1" t="s">
        <v>490</v>
      </c>
      <c r="Q55" s="1">
        <v>0</v>
      </c>
      <c r="R55" s="1">
        <v>1</v>
      </c>
      <c r="S55" s="1">
        <v>1</v>
      </c>
    </row>
    <row r="56" spans="1:20" ht="14.25" hidden="1" customHeight="1" x14ac:dyDescent="0.2">
      <c r="A56" s="1" t="s">
        <v>312</v>
      </c>
      <c r="B56" s="1" t="s">
        <v>485</v>
      </c>
      <c r="C56" s="1">
        <v>10</v>
      </c>
      <c r="D56" s="6">
        <v>492904</v>
      </c>
      <c r="E56" s="1" t="s">
        <v>171</v>
      </c>
      <c r="F56" s="1" t="str">
        <f t="shared" si="0"/>
        <v>A04</v>
      </c>
      <c r="G56" s="1" t="s">
        <v>523</v>
      </c>
      <c r="H56" s="1" t="s">
        <v>486</v>
      </c>
      <c r="I56" s="1">
        <v>2024</v>
      </c>
      <c r="J56" s="1" t="s">
        <v>529</v>
      </c>
      <c r="P56" s="1" t="s">
        <v>490</v>
      </c>
      <c r="Q56" s="1">
        <v>0</v>
      </c>
      <c r="R56" s="1">
        <v>7</v>
      </c>
      <c r="S56" s="1">
        <v>5</v>
      </c>
    </row>
    <row r="57" spans="1:20" ht="14.25" hidden="1" customHeight="1" x14ac:dyDescent="0.2">
      <c r="A57" s="1" t="s">
        <v>312</v>
      </c>
      <c r="B57" s="1" t="s">
        <v>485</v>
      </c>
      <c r="C57" s="1">
        <v>10</v>
      </c>
      <c r="D57" s="6">
        <v>492904</v>
      </c>
      <c r="E57" s="1" t="s">
        <v>179</v>
      </c>
      <c r="F57" s="1" t="str">
        <f t="shared" si="0"/>
        <v>A07</v>
      </c>
      <c r="G57" s="1" t="s">
        <v>492</v>
      </c>
      <c r="H57" s="1" t="s">
        <v>486</v>
      </c>
      <c r="I57" s="1">
        <v>2024</v>
      </c>
      <c r="J57" s="1" t="s">
        <v>529</v>
      </c>
      <c r="P57" s="1" t="s">
        <v>490</v>
      </c>
      <c r="Q57" s="1">
        <v>0</v>
      </c>
      <c r="R57" s="1">
        <v>0</v>
      </c>
      <c r="S57" s="1">
        <v>1</v>
      </c>
    </row>
    <row r="58" spans="1:20" ht="14.25" hidden="1" customHeight="1" x14ac:dyDescent="0.2">
      <c r="A58" s="1" t="s">
        <v>312</v>
      </c>
      <c r="B58" s="1" t="s">
        <v>485</v>
      </c>
      <c r="C58" s="1">
        <v>10</v>
      </c>
      <c r="D58" s="6">
        <v>492904</v>
      </c>
      <c r="E58" s="1" t="s">
        <v>188</v>
      </c>
      <c r="F58" s="1" t="str">
        <f t="shared" si="0"/>
        <v>B01</v>
      </c>
      <c r="G58" s="1" t="s">
        <v>511</v>
      </c>
      <c r="H58" s="1" t="s">
        <v>486</v>
      </c>
      <c r="I58" s="1">
        <v>2024</v>
      </c>
      <c r="J58" s="1" t="s">
        <v>529</v>
      </c>
      <c r="P58" s="1" t="s">
        <v>490</v>
      </c>
      <c r="Q58" s="1">
        <v>0</v>
      </c>
      <c r="R58" s="1">
        <v>0</v>
      </c>
      <c r="S58" s="1">
        <v>1</v>
      </c>
    </row>
    <row r="59" spans="1:20" ht="14.25" hidden="1" customHeight="1" x14ac:dyDescent="0.2">
      <c r="A59" s="1" t="s">
        <v>312</v>
      </c>
      <c r="B59" s="1" t="s">
        <v>485</v>
      </c>
      <c r="C59" s="1">
        <v>10</v>
      </c>
      <c r="D59" s="6">
        <v>492904</v>
      </c>
      <c r="E59" s="1" t="s">
        <v>221</v>
      </c>
      <c r="F59" s="1" t="str">
        <f t="shared" si="0"/>
        <v>C04</v>
      </c>
      <c r="G59" s="1" t="s">
        <v>530</v>
      </c>
      <c r="H59" s="1" t="s">
        <v>486</v>
      </c>
      <c r="I59" s="1">
        <v>2024</v>
      </c>
      <c r="J59" s="1" t="s">
        <v>529</v>
      </c>
      <c r="P59" s="1" t="s">
        <v>490</v>
      </c>
      <c r="Q59" s="1">
        <v>0</v>
      </c>
      <c r="R59" s="1">
        <v>2</v>
      </c>
      <c r="S59" s="1">
        <v>2</v>
      </c>
    </row>
    <row r="60" spans="1:20" ht="14.25" hidden="1" customHeight="1" x14ac:dyDescent="0.2">
      <c r="A60" s="1" t="s">
        <v>312</v>
      </c>
      <c r="B60" s="1" t="s">
        <v>485</v>
      </c>
      <c r="C60" s="1">
        <v>10</v>
      </c>
      <c r="D60" s="6">
        <v>492904</v>
      </c>
      <c r="E60" s="1" t="s">
        <v>238</v>
      </c>
      <c r="F60" s="1" t="str">
        <f t="shared" si="0"/>
        <v>C12</v>
      </c>
      <c r="G60" s="1" t="s">
        <v>525</v>
      </c>
      <c r="H60" s="1" t="s">
        <v>486</v>
      </c>
      <c r="I60" s="1">
        <v>2024</v>
      </c>
      <c r="J60" s="1" t="s">
        <v>529</v>
      </c>
      <c r="P60" s="1" t="s">
        <v>490</v>
      </c>
      <c r="Q60" s="1">
        <v>180000</v>
      </c>
      <c r="R60" s="1">
        <v>360000</v>
      </c>
      <c r="S60" s="1">
        <v>540000</v>
      </c>
    </row>
    <row r="61" spans="1:20" ht="14.25" hidden="1" customHeight="1" x14ac:dyDescent="0.2">
      <c r="A61" s="1" t="s">
        <v>312</v>
      </c>
      <c r="B61" s="1" t="s">
        <v>485</v>
      </c>
      <c r="C61" s="1">
        <v>10</v>
      </c>
      <c r="D61" s="6">
        <v>492904</v>
      </c>
      <c r="E61" s="1" t="s">
        <v>245</v>
      </c>
      <c r="F61" s="1" t="str">
        <f t="shared" si="0"/>
        <v>C15</v>
      </c>
      <c r="G61" s="1" t="s">
        <v>508</v>
      </c>
      <c r="H61" s="1" t="s">
        <v>486</v>
      </c>
      <c r="I61" s="1">
        <v>2024</v>
      </c>
      <c r="J61" s="1" t="s">
        <v>529</v>
      </c>
      <c r="P61" s="1" t="s">
        <v>490</v>
      </c>
      <c r="Q61" s="1">
        <v>1</v>
      </c>
      <c r="R61" s="1">
        <v>2</v>
      </c>
      <c r="S61" s="1">
        <v>3</v>
      </c>
    </row>
    <row r="62" spans="1:20" ht="14.25" hidden="1" customHeight="1" x14ac:dyDescent="0.2">
      <c r="A62" s="1" t="s">
        <v>313</v>
      </c>
      <c r="B62" s="1" t="s">
        <v>485</v>
      </c>
      <c r="C62" s="1">
        <v>10</v>
      </c>
      <c r="D62" s="6">
        <v>439897</v>
      </c>
      <c r="E62" s="1" t="s">
        <v>171</v>
      </c>
      <c r="F62" s="1" t="str">
        <f t="shared" si="0"/>
        <v>A04</v>
      </c>
      <c r="G62" s="1" t="s">
        <v>523</v>
      </c>
      <c r="H62" s="1" t="s">
        <v>486</v>
      </c>
      <c r="I62" s="1">
        <v>2024</v>
      </c>
      <c r="J62" s="1" t="s">
        <v>529</v>
      </c>
      <c r="P62" s="1" t="s">
        <v>490</v>
      </c>
      <c r="Q62" s="1">
        <v>0</v>
      </c>
      <c r="R62" s="1">
        <v>97</v>
      </c>
      <c r="S62" s="1">
        <v>30</v>
      </c>
    </row>
    <row r="63" spans="1:20" ht="14.25" hidden="1" customHeight="1" x14ac:dyDescent="0.2">
      <c r="A63" s="1" t="s">
        <v>313</v>
      </c>
      <c r="B63" s="1" t="s">
        <v>485</v>
      </c>
      <c r="C63" s="1">
        <v>10</v>
      </c>
      <c r="D63" s="6">
        <v>439897</v>
      </c>
      <c r="E63" s="1" t="s">
        <v>219</v>
      </c>
      <c r="F63" s="1" t="str">
        <f t="shared" si="0"/>
        <v>C03</v>
      </c>
      <c r="G63" s="1" t="s">
        <v>531</v>
      </c>
      <c r="H63" s="1" t="s">
        <v>486</v>
      </c>
      <c r="I63" s="1">
        <v>2024</v>
      </c>
      <c r="J63" s="1" t="s">
        <v>529</v>
      </c>
      <c r="P63" s="1" t="s">
        <v>490</v>
      </c>
      <c r="Q63" s="1">
        <v>0</v>
      </c>
      <c r="R63" s="1">
        <v>0</v>
      </c>
      <c r="S63" s="1">
        <v>2</v>
      </c>
    </row>
    <row r="64" spans="1:20" ht="14.25" hidden="1" customHeight="1" x14ac:dyDescent="0.2">
      <c r="A64" s="1" t="s">
        <v>313</v>
      </c>
      <c r="B64" s="1" t="s">
        <v>485</v>
      </c>
      <c r="C64" s="1">
        <v>10</v>
      </c>
      <c r="D64" s="6">
        <v>439897</v>
      </c>
      <c r="E64" s="1" t="s">
        <v>238</v>
      </c>
      <c r="F64" s="1" t="str">
        <f t="shared" si="0"/>
        <v>C12</v>
      </c>
      <c r="G64" s="1" t="s">
        <v>525</v>
      </c>
      <c r="H64" s="1" t="s">
        <v>486</v>
      </c>
      <c r="I64" s="1">
        <v>2024</v>
      </c>
      <c r="J64" s="1" t="s">
        <v>529</v>
      </c>
      <c r="P64" s="1" t="s">
        <v>490</v>
      </c>
      <c r="Q64" s="1">
        <v>863</v>
      </c>
      <c r="R64" s="1">
        <v>863</v>
      </c>
      <c r="S64" s="1">
        <v>5000</v>
      </c>
    </row>
    <row r="65" spans="1:20" ht="14.25" hidden="1" customHeight="1" x14ac:dyDescent="0.2">
      <c r="A65" s="1" t="s">
        <v>313</v>
      </c>
      <c r="B65" s="1" t="s">
        <v>485</v>
      </c>
      <c r="C65" s="1">
        <v>10</v>
      </c>
      <c r="D65" s="6">
        <v>439897</v>
      </c>
      <c r="E65" s="1" t="s">
        <v>261</v>
      </c>
      <c r="F65" s="1" t="str">
        <f t="shared" si="0"/>
        <v>D03</v>
      </c>
      <c r="G65" s="1" t="s">
        <v>532</v>
      </c>
      <c r="H65" s="1" t="s">
        <v>486</v>
      </c>
      <c r="I65" s="1">
        <v>2024</v>
      </c>
      <c r="J65" s="1" t="s">
        <v>529</v>
      </c>
      <c r="M65" s="1" t="s">
        <v>533</v>
      </c>
      <c r="N65" s="1" t="s">
        <v>515</v>
      </c>
      <c r="P65" s="1" t="s">
        <v>490</v>
      </c>
      <c r="Q65" s="1">
        <v>0</v>
      </c>
      <c r="R65" s="1">
        <v>0</v>
      </c>
      <c r="S65" s="1">
        <v>1</v>
      </c>
    </row>
    <row r="66" spans="1:20" ht="14.25" hidden="1" customHeight="1" x14ac:dyDescent="0.2">
      <c r="A66" s="1" t="s">
        <v>313</v>
      </c>
      <c r="B66" s="1" t="s">
        <v>485</v>
      </c>
      <c r="C66" s="1">
        <v>10</v>
      </c>
      <c r="D66" s="6">
        <v>439897</v>
      </c>
      <c r="E66" s="1" t="s">
        <v>294</v>
      </c>
      <c r="F66" s="1" t="str">
        <f t="shared" si="0"/>
        <v>E03</v>
      </c>
      <c r="G66" s="1" t="s">
        <v>295</v>
      </c>
      <c r="H66" s="1" t="s">
        <v>486</v>
      </c>
      <c r="I66" s="1">
        <v>2024</v>
      </c>
      <c r="J66" s="1" t="s">
        <v>529</v>
      </c>
      <c r="P66" s="1" t="s">
        <v>490</v>
      </c>
      <c r="Q66" s="1">
        <v>0</v>
      </c>
      <c r="R66" s="1">
        <v>0</v>
      </c>
      <c r="S66" s="1">
        <v>1</v>
      </c>
    </row>
    <row r="67" spans="1:20" ht="14.25" hidden="1" customHeight="1" x14ac:dyDescent="0.2">
      <c r="A67" s="1" t="s">
        <v>314</v>
      </c>
      <c r="B67" s="1" t="s">
        <v>485</v>
      </c>
      <c r="C67" s="1">
        <v>10</v>
      </c>
      <c r="D67" s="6">
        <v>199300</v>
      </c>
      <c r="E67" s="1" t="s">
        <v>164</v>
      </c>
      <c r="F67" s="1" t="str">
        <f t="shared" ref="F67:F130" si="1">RIGHT(E67, LEN(E67) - 6)</f>
        <v>A01</v>
      </c>
      <c r="G67" s="1" t="s">
        <v>165</v>
      </c>
      <c r="H67" s="1" t="s">
        <v>486</v>
      </c>
      <c r="I67" s="1">
        <v>2024</v>
      </c>
      <c r="J67" s="1" t="s">
        <v>519</v>
      </c>
      <c r="P67" s="1" t="s">
        <v>490</v>
      </c>
      <c r="Q67" s="1">
        <v>13</v>
      </c>
      <c r="R67" s="1">
        <v>13</v>
      </c>
      <c r="S67" s="1">
        <v>10</v>
      </c>
    </row>
    <row r="68" spans="1:20" ht="14.25" hidden="1" customHeight="1" x14ac:dyDescent="0.2">
      <c r="A68" s="1" t="s">
        <v>314</v>
      </c>
      <c r="B68" s="1" t="s">
        <v>485</v>
      </c>
      <c r="C68" s="1">
        <v>10</v>
      </c>
      <c r="D68" s="6">
        <v>199300</v>
      </c>
      <c r="E68" s="1" t="s">
        <v>169</v>
      </c>
      <c r="F68" s="1" t="str">
        <f t="shared" si="1"/>
        <v>A03</v>
      </c>
      <c r="G68" s="1" t="s">
        <v>170</v>
      </c>
      <c r="H68" s="1" t="s">
        <v>486</v>
      </c>
      <c r="I68" s="1">
        <v>2024</v>
      </c>
      <c r="J68" s="1" t="s">
        <v>519</v>
      </c>
      <c r="P68" s="1" t="s">
        <v>490</v>
      </c>
      <c r="Q68" s="1">
        <v>0</v>
      </c>
      <c r="R68" s="1">
        <v>1</v>
      </c>
      <c r="S68" s="1">
        <v>1</v>
      </c>
    </row>
    <row r="69" spans="1:20" ht="14.25" hidden="1" customHeight="1" x14ac:dyDescent="0.2">
      <c r="A69" s="1" t="s">
        <v>314</v>
      </c>
      <c r="B69" s="1" t="s">
        <v>485</v>
      </c>
      <c r="C69" s="1">
        <v>10</v>
      </c>
      <c r="D69" s="6">
        <v>199300</v>
      </c>
      <c r="E69" s="1" t="s">
        <v>188</v>
      </c>
      <c r="F69" s="1" t="str">
        <f t="shared" si="1"/>
        <v>B01</v>
      </c>
      <c r="G69" s="1" t="s">
        <v>511</v>
      </c>
      <c r="H69" s="1" t="s">
        <v>486</v>
      </c>
      <c r="I69" s="1">
        <v>2024</v>
      </c>
      <c r="J69" s="1" t="s">
        <v>519</v>
      </c>
      <c r="M69" s="1" t="s">
        <v>515</v>
      </c>
      <c r="N69" s="1" t="s">
        <v>534</v>
      </c>
      <c r="P69" s="1" t="s">
        <v>490</v>
      </c>
      <c r="Q69" s="1">
        <v>0</v>
      </c>
      <c r="R69" s="1">
        <v>0</v>
      </c>
      <c r="S69" s="1">
        <v>2</v>
      </c>
      <c r="T69" s="1" t="s">
        <v>535</v>
      </c>
    </row>
    <row r="70" spans="1:20" ht="14.25" hidden="1" customHeight="1" x14ac:dyDescent="0.2">
      <c r="A70" s="1" t="s">
        <v>314</v>
      </c>
      <c r="B70" s="1" t="s">
        <v>485</v>
      </c>
      <c r="C70" s="1">
        <v>10</v>
      </c>
      <c r="D70" s="6">
        <v>199300</v>
      </c>
      <c r="E70" s="1" t="s">
        <v>215</v>
      </c>
      <c r="F70" s="1" t="str">
        <f t="shared" si="1"/>
        <v>C01</v>
      </c>
      <c r="G70" s="1" t="s">
        <v>499</v>
      </c>
      <c r="H70" s="1" t="s">
        <v>486</v>
      </c>
      <c r="I70" s="1">
        <v>2024</v>
      </c>
      <c r="J70" s="1" t="s">
        <v>519</v>
      </c>
      <c r="P70" s="1" t="s">
        <v>490</v>
      </c>
      <c r="Q70" s="1">
        <v>4</v>
      </c>
      <c r="R70" s="1">
        <v>14</v>
      </c>
      <c r="S70" s="1" t="s">
        <v>490</v>
      </c>
    </row>
    <row r="71" spans="1:20" ht="14.25" hidden="1" customHeight="1" x14ac:dyDescent="0.2">
      <c r="A71" s="1" t="s">
        <v>315</v>
      </c>
      <c r="B71" s="1" t="s">
        <v>485</v>
      </c>
      <c r="C71" s="1">
        <v>10</v>
      </c>
      <c r="D71" s="6">
        <v>308263</v>
      </c>
      <c r="E71" s="1" t="s">
        <v>230</v>
      </c>
      <c r="F71" s="1" t="str">
        <f t="shared" si="1"/>
        <v>C08</v>
      </c>
      <c r="G71" s="1" t="s">
        <v>503</v>
      </c>
      <c r="H71" s="1" t="s">
        <v>486</v>
      </c>
      <c r="I71" s="1">
        <v>2024</v>
      </c>
      <c r="J71" s="1" t="s">
        <v>536</v>
      </c>
      <c r="P71" s="1" t="s">
        <v>490</v>
      </c>
      <c r="Q71" s="1">
        <v>0</v>
      </c>
      <c r="R71" s="1">
        <v>0</v>
      </c>
      <c r="S71" s="1" t="s">
        <v>490</v>
      </c>
    </row>
    <row r="72" spans="1:20" ht="14.25" hidden="1" customHeight="1" x14ac:dyDescent="0.2">
      <c r="A72" s="1" t="s">
        <v>315</v>
      </c>
      <c r="B72" s="1" t="s">
        <v>485</v>
      </c>
      <c r="C72" s="1">
        <v>10</v>
      </c>
      <c r="D72" s="6">
        <v>308263</v>
      </c>
      <c r="E72" s="1" t="s">
        <v>232</v>
      </c>
      <c r="F72" s="1" t="str">
        <f t="shared" si="1"/>
        <v>C09</v>
      </c>
      <c r="G72" s="1" t="s">
        <v>537</v>
      </c>
      <c r="H72" s="1" t="s">
        <v>486</v>
      </c>
      <c r="I72" s="1">
        <v>2024</v>
      </c>
      <c r="J72" s="1" t="s">
        <v>536</v>
      </c>
      <c r="P72" s="1" t="s">
        <v>490</v>
      </c>
      <c r="Q72" s="1">
        <v>0</v>
      </c>
      <c r="R72" s="1">
        <v>0</v>
      </c>
      <c r="S72" s="1">
        <v>2</v>
      </c>
    </row>
    <row r="73" spans="1:20" ht="14.25" hidden="1" customHeight="1" x14ac:dyDescent="0.2">
      <c r="A73" s="1" t="s">
        <v>315</v>
      </c>
      <c r="B73" s="1" t="s">
        <v>485</v>
      </c>
      <c r="C73" s="1">
        <v>10</v>
      </c>
      <c r="D73" s="6">
        <v>308263</v>
      </c>
      <c r="E73" s="1" t="s">
        <v>247</v>
      </c>
      <c r="F73" s="1" t="str">
        <f t="shared" si="1"/>
        <v>C16</v>
      </c>
      <c r="G73" s="1" t="s">
        <v>494</v>
      </c>
      <c r="H73" s="1" t="s">
        <v>486</v>
      </c>
      <c r="I73" s="1">
        <v>2024</v>
      </c>
      <c r="J73" s="1" t="s">
        <v>536</v>
      </c>
      <c r="P73" s="1" t="s">
        <v>490</v>
      </c>
      <c r="Q73" s="1">
        <v>0</v>
      </c>
      <c r="R73" s="1">
        <v>0</v>
      </c>
      <c r="S73" s="1" t="s">
        <v>490</v>
      </c>
    </row>
    <row r="74" spans="1:20" ht="14.25" hidden="1" customHeight="1" x14ac:dyDescent="0.2">
      <c r="A74" s="1" t="s">
        <v>315</v>
      </c>
      <c r="B74" s="1" t="s">
        <v>485</v>
      </c>
      <c r="C74" s="1">
        <v>10</v>
      </c>
      <c r="D74" s="6">
        <v>308263</v>
      </c>
      <c r="E74" s="1" t="s">
        <v>250</v>
      </c>
      <c r="F74" s="1" t="str">
        <f t="shared" si="1"/>
        <v>C17</v>
      </c>
      <c r="G74" s="1" t="s">
        <v>509</v>
      </c>
      <c r="H74" s="1" t="s">
        <v>486</v>
      </c>
      <c r="I74" s="1">
        <v>2024</v>
      </c>
      <c r="J74" s="1" t="s">
        <v>536</v>
      </c>
      <c r="P74" s="1" t="s">
        <v>490</v>
      </c>
      <c r="Q74" s="1">
        <v>0</v>
      </c>
      <c r="R74" s="1">
        <v>0</v>
      </c>
      <c r="S74" s="1">
        <v>0</v>
      </c>
    </row>
    <row r="75" spans="1:20" ht="14.25" hidden="1" customHeight="1" x14ac:dyDescent="0.2">
      <c r="A75" s="1" t="s">
        <v>112</v>
      </c>
      <c r="B75" s="1" t="s">
        <v>485</v>
      </c>
      <c r="C75" s="1">
        <v>10</v>
      </c>
      <c r="D75" s="6">
        <v>98135</v>
      </c>
      <c r="E75" s="1" t="s">
        <v>164</v>
      </c>
      <c r="F75" s="1" t="str">
        <f t="shared" si="1"/>
        <v>A01</v>
      </c>
      <c r="G75" s="1" t="s">
        <v>165</v>
      </c>
      <c r="H75" s="1" t="s">
        <v>486</v>
      </c>
      <c r="I75" s="1">
        <v>2024</v>
      </c>
      <c r="J75" s="1" t="s">
        <v>500</v>
      </c>
      <c r="K75" s="1" t="s">
        <v>488</v>
      </c>
      <c r="L75" s="1" t="s">
        <v>489</v>
      </c>
      <c r="P75" s="1" t="s">
        <v>490</v>
      </c>
      <c r="Q75" s="1">
        <v>0</v>
      </c>
      <c r="R75" s="1">
        <v>60</v>
      </c>
      <c r="S75" s="1" t="s">
        <v>490</v>
      </c>
    </row>
    <row r="76" spans="1:20" ht="14.25" hidden="1" customHeight="1" x14ac:dyDescent="0.2">
      <c r="A76" s="1" t="s">
        <v>112</v>
      </c>
      <c r="B76" s="1" t="s">
        <v>485</v>
      </c>
      <c r="C76" s="1">
        <v>10</v>
      </c>
      <c r="D76" s="6">
        <v>98135</v>
      </c>
      <c r="E76" s="1" t="s">
        <v>164</v>
      </c>
      <c r="F76" s="1" t="str">
        <f t="shared" si="1"/>
        <v>A01</v>
      </c>
      <c r="G76" s="1" t="s">
        <v>165</v>
      </c>
      <c r="H76" s="1" t="s">
        <v>486</v>
      </c>
      <c r="I76" s="1">
        <v>2024</v>
      </c>
      <c r="J76" s="1" t="s">
        <v>500</v>
      </c>
      <c r="K76" s="1" t="s">
        <v>491</v>
      </c>
      <c r="L76" s="1" t="s">
        <v>489</v>
      </c>
      <c r="P76" s="1" t="s">
        <v>490</v>
      </c>
      <c r="Q76" s="1">
        <v>0</v>
      </c>
      <c r="R76" s="1">
        <v>87</v>
      </c>
      <c r="S76" s="1" t="s">
        <v>490</v>
      </c>
    </row>
    <row r="77" spans="1:20" ht="14.25" hidden="1" customHeight="1" x14ac:dyDescent="0.2">
      <c r="A77" s="1" t="s">
        <v>112</v>
      </c>
      <c r="B77" s="1" t="s">
        <v>485</v>
      </c>
      <c r="C77" s="1">
        <v>10</v>
      </c>
      <c r="D77" s="6">
        <v>98135</v>
      </c>
      <c r="E77" s="1" t="s">
        <v>179</v>
      </c>
      <c r="F77" s="1" t="str">
        <f t="shared" si="1"/>
        <v>A07</v>
      </c>
      <c r="G77" s="1" t="s">
        <v>492</v>
      </c>
      <c r="H77" s="1" t="s">
        <v>486</v>
      </c>
      <c r="I77" s="1">
        <v>2024</v>
      </c>
      <c r="J77" s="1" t="s">
        <v>500</v>
      </c>
      <c r="P77" s="1" t="s">
        <v>490</v>
      </c>
      <c r="Q77" s="1">
        <v>4</v>
      </c>
      <c r="R77" s="1">
        <v>7</v>
      </c>
      <c r="S77" s="1">
        <v>5</v>
      </c>
      <c r="T77" s="1" t="s">
        <v>538</v>
      </c>
    </row>
    <row r="78" spans="1:20" ht="14.25" hidden="1" customHeight="1" x14ac:dyDescent="0.2">
      <c r="A78" s="1" t="s">
        <v>112</v>
      </c>
      <c r="B78" s="1" t="s">
        <v>485</v>
      </c>
      <c r="C78" s="1">
        <v>10</v>
      </c>
      <c r="D78" s="6">
        <v>98135</v>
      </c>
      <c r="E78" s="1" t="s">
        <v>197</v>
      </c>
      <c r="F78" s="1" t="str">
        <f t="shared" si="1"/>
        <v>B05</v>
      </c>
      <c r="G78" s="1" t="s">
        <v>198</v>
      </c>
      <c r="H78" s="1" t="s">
        <v>486</v>
      </c>
      <c r="I78" s="1">
        <v>2024</v>
      </c>
      <c r="J78" s="1" t="s">
        <v>500</v>
      </c>
      <c r="K78" s="1" t="s">
        <v>488</v>
      </c>
      <c r="P78" s="1" t="s">
        <v>490</v>
      </c>
      <c r="Q78" s="1">
        <v>11</v>
      </c>
      <c r="R78" s="1">
        <v>20</v>
      </c>
      <c r="S78" s="1" t="s">
        <v>490</v>
      </c>
      <c r="T78" s="1" t="s">
        <v>538</v>
      </c>
    </row>
    <row r="79" spans="1:20" ht="14.25" hidden="1" customHeight="1" x14ac:dyDescent="0.2">
      <c r="A79" s="1" t="s">
        <v>112</v>
      </c>
      <c r="B79" s="1" t="s">
        <v>485</v>
      </c>
      <c r="C79" s="1">
        <v>10</v>
      </c>
      <c r="D79" s="6">
        <v>98135</v>
      </c>
      <c r="E79" s="1" t="s">
        <v>197</v>
      </c>
      <c r="F79" s="1" t="str">
        <f t="shared" si="1"/>
        <v>B05</v>
      </c>
      <c r="G79" s="1" t="s">
        <v>198</v>
      </c>
      <c r="H79" s="1" t="s">
        <v>486</v>
      </c>
      <c r="I79" s="1">
        <v>2024</v>
      </c>
      <c r="J79" s="1" t="s">
        <v>500</v>
      </c>
      <c r="K79" s="1" t="s">
        <v>491</v>
      </c>
      <c r="P79" s="1" t="s">
        <v>490</v>
      </c>
      <c r="Q79" s="1">
        <v>10</v>
      </c>
      <c r="R79" s="1">
        <v>17</v>
      </c>
      <c r="S79" s="1" t="s">
        <v>490</v>
      </c>
      <c r="T79" s="1" t="s">
        <v>538</v>
      </c>
    </row>
    <row r="80" spans="1:20" ht="14.25" hidden="1" customHeight="1" x14ac:dyDescent="0.2">
      <c r="A80" s="1" t="s">
        <v>112</v>
      </c>
      <c r="B80" s="1" t="s">
        <v>485</v>
      </c>
      <c r="C80" s="1">
        <v>10</v>
      </c>
      <c r="D80" s="6">
        <v>98135</v>
      </c>
      <c r="E80" s="1" t="s">
        <v>223</v>
      </c>
      <c r="F80" s="1" t="str">
        <f t="shared" si="1"/>
        <v>C05</v>
      </c>
      <c r="G80" s="1" t="s">
        <v>528</v>
      </c>
      <c r="H80" s="1" t="s">
        <v>486</v>
      </c>
      <c r="I80" s="1">
        <v>2024</v>
      </c>
      <c r="J80" s="1" t="s">
        <v>500</v>
      </c>
      <c r="P80" s="1" t="s">
        <v>490</v>
      </c>
      <c r="Q80" s="1">
        <v>1</v>
      </c>
      <c r="R80" s="1">
        <v>2</v>
      </c>
      <c r="S80" s="1">
        <v>4</v>
      </c>
      <c r="T80" s="1" t="s">
        <v>538</v>
      </c>
    </row>
    <row r="81" spans="1:20" ht="14.25" hidden="1" customHeight="1" x14ac:dyDescent="0.2">
      <c r="A81" s="1" t="s">
        <v>112</v>
      </c>
      <c r="B81" s="1" t="s">
        <v>485</v>
      </c>
      <c r="C81" s="1">
        <v>10</v>
      </c>
      <c r="D81" s="6">
        <v>98135</v>
      </c>
      <c r="E81" s="1" t="s">
        <v>238</v>
      </c>
      <c r="F81" s="1" t="str">
        <f t="shared" si="1"/>
        <v>C12</v>
      </c>
      <c r="G81" s="1" t="s">
        <v>525</v>
      </c>
      <c r="H81" s="1" t="s">
        <v>486</v>
      </c>
      <c r="I81" s="1">
        <v>2024</v>
      </c>
      <c r="J81" s="1" t="s">
        <v>500</v>
      </c>
      <c r="P81" s="1" t="s">
        <v>490</v>
      </c>
      <c r="Q81" s="1">
        <v>66000</v>
      </c>
      <c r="R81" s="1">
        <v>117700</v>
      </c>
      <c r="S81" s="1">
        <v>50000</v>
      </c>
      <c r="T81" s="1" t="s">
        <v>538</v>
      </c>
    </row>
    <row r="82" spans="1:20" ht="14.25" hidden="1" customHeight="1" x14ac:dyDescent="0.2">
      <c r="A82" s="1" t="s">
        <v>112</v>
      </c>
      <c r="B82" s="1" t="s">
        <v>485</v>
      </c>
      <c r="C82" s="1">
        <v>10</v>
      </c>
      <c r="D82" s="6">
        <v>98135</v>
      </c>
      <c r="E82" s="1" t="s">
        <v>240</v>
      </c>
      <c r="F82" s="1" t="str">
        <f t="shared" si="1"/>
        <v>C13</v>
      </c>
      <c r="G82" s="1" t="s">
        <v>539</v>
      </c>
      <c r="H82" s="1" t="s">
        <v>486</v>
      </c>
      <c r="I82" s="1">
        <v>2024</v>
      </c>
      <c r="J82" s="1" t="s">
        <v>500</v>
      </c>
      <c r="P82" s="1" t="s">
        <v>490</v>
      </c>
      <c r="Q82" s="1">
        <v>56</v>
      </c>
      <c r="R82" s="1">
        <v>412</v>
      </c>
      <c r="S82" s="1">
        <v>300</v>
      </c>
      <c r="T82" s="1" t="s">
        <v>538</v>
      </c>
    </row>
    <row r="83" spans="1:20" ht="14.25" hidden="1" customHeight="1" x14ac:dyDescent="0.2">
      <c r="A83" s="1" t="s">
        <v>112</v>
      </c>
      <c r="B83" s="1" t="s">
        <v>485</v>
      </c>
      <c r="C83" s="1">
        <v>10</v>
      </c>
      <c r="D83" s="6">
        <v>98135</v>
      </c>
      <c r="E83" s="1" t="s">
        <v>245</v>
      </c>
      <c r="F83" s="1" t="str">
        <f t="shared" si="1"/>
        <v>C15</v>
      </c>
      <c r="G83" s="1" t="s">
        <v>508</v>
      </c>
      <c r="H83" s="1" t="s">
        <v>486</v>
      </c>
      <c r="I83" s="1">
        <v>2024</v>
      </c>
      <c r="J83" s="1" t="s">
        <v>500</v>
      </c>
      <c r="P83" s="1" t="s">
        <v>490</v>
      </c>
      <c r="Q83" s="1">
        <v>5</v>
      </c>
      <c r="R83" s="1">
        <v>8</v>
      </c>
      <c r="S83" s="1">
        <v>10</v>
      </c>
      <c r="T83" s="1" t="s">
        <v>538</v>
      </c>
    </row>
    <row r="84" spans="1:20" ht="14.25" hidden="1" customHeight="1" x14ac:dyDescent="0.2">
      <c r="A84" s="1" t="s">
        <v>316</v>
      </c>
      <c r="B84" s="1" t="s">
        <v>485</v>
      </c>
      <c r="C84" s="1">
        <v>10</v>
      </c>
      <c r="D84" s="6">
        <v>397756</v>
      </c>
      <c r="E84" s="1" t="s">
        <v>164</v>
      </c>
      <c r="F84" s="1" t="str">
        <f t="shared" si="1"/>
        <v>A01</v>
      </c>
      <c r="G84" s="1" t="s">
        <v>165</v>
      </c>
      <c r="H84" s="1" t="s">
        <v>486</v>
      </c>
      <c r="I84" s="1">
        <v>2024</v>
      </c>
      <c r="J84" s="1" t="s">
        <v>536</v>
      </c>
      <c r="K84" s="1" t="s">
        <v>488</v>
      </c>
      <c r="L84" s="1" t="s">
        <v>489</v>
      </c>
      <c r="P84" s="1" t="s">
        <v>490</v>
      </c>
      <c r="Q84" s="1">
        <v>0</v>
      </c>
      <c r="R84" s="1">
        <v>4</v>
      </c>
      <c r="S84" s="1" t="s">
        <v>490</v>
      </c>
      <c r="T84" s="1" t="s">
        <v>540</v>
      </c>
    </row>
    <row r="85" spans="1:20" ht="14.25" hidden="1" customHeight="1" x14ac:dyDescent="0.2">
      <c r="A85" s="1" t="s">
        <v>316</v>
      </c>
      <c r="B85" s="1" t="s">
        <v>485</v>
      </c>
      <c r="C85" s="1">
        <v>10</v>
      </c>
      <c r="D85" s="6">
        <v>397756</v>
      </c>
      <c r="E85" s="1" t="s">
        <v>164</v>
      </c>
      <c r="F85" s="1" t="str">
        <f t="shared" si="1"/>
        <v>A01</v>
      </c>
      <c r="G85" s="1" t="s">
        <v>165</v>
      </c>
      <c r="H85" s="1" t="s">
        <v>486</v>
      </c>
      <c r="I85" s="1">
        <v>2024</v>
      </c>
      <c r="J85" s="1" t="s">
        <v>536</v>
      </c>
      <c r="K85" s="1" t="s">
        <v>491</v>
      </c>
      <c r="L85" s="1" t="s">
        <v>489</v>
      </c>
      <c r="P85" s="1" t="s">
        <v>490</v>
      </c>
      <c r="Q85" s="1">
        <v>0</v>
      </c>
      <c r="R85" s="1">
        <v>3</v>
      </c>
      <c r="S85" s="1" t="s">
        <v>490</v>
      </c>
      <c r="T85" s="1" t="s">
        <v>540</v>
      </c>
    </row>
    <row r="86" spans="1:20" ht="14.25" hidden="1" customHeight="1" x14ac:dyDescent="0.2">
      <c r="A86" s="1" t="s">
        <v>316</v>
      </c>
      <c r="B86" s="1" t="s">
        <v>485</v>
      </c>
      <c r="C86" s="1">
        <v>10</v>
      </c>
      <c r="D86" s="6">
        <v>397756</v>
      </c>
      <c r="E86" s="1" t="s">
        <v>188</v>
      </c>
      <c r="F86" s="1" t="str">
        <f t="shared" si="1"/>
        <v>B01</v>
      </c>
      <c r="G86" s="1" t="s">
        <v>511</v>
      </c>
      <c r="H86" s="1" t="s">
        <v>486</v>
      </c>
      <c r="I86" s="1">
        <v>2024</v>
      </c>
      <c r="J86" s="1" t="s">
        <v>536</v>
      </c>
      <c r="M86" s="1" t="s">
        <v>515</v>
      </c>
      <c r="N86" s="1" t="s">
        <v>534</v>
      </c>
      <c r="O86" s="1" t="s">
        <v>513</v>
      </c>
      <c r="P86" s="1" t="s">
        <v>490</v>
      </c>
      <c r="Q86" s="1">
        <v>2</v>
      </c>
      <c r="R86" s="1">
        <v>2</v>
      </c>
      <c r="S86" s="1" t="s">
        <v>490</v>
      </c>
      <c r="T86" s="1" t="s">
        <v>541</v>
      </c>
    </row>
    <row r="87" spans="1:20" ht="14.25" hidden="1" customHeight="1" x14ac:dyDescent="0.2">
      <c r="A87" s="1" t="s">
        <v>317</v>
      </c>
      <c r="B87" s="1" t="s">
        <v>485</v>
      </c>
      <c r="C87" s="1">
        <v>10</v>
      </c>
      <c r="D87" s="6">
        <v>299249</v>
      </c>
      <c r="E87" s="1" t="s">
        <v>164</v>
      </c>
      <c r="F87" s="1" t="str">
        <f t="shared" si="1"/>
        <v>A01</v>
      </c>
      <c r="G87" s="1" t="s">
        <v>165</v>
      </c>
      <c r="H87" s="1" t="s">
        <v>486</v>
      </c>
      <c r="I87" s="1">
        <v>2024</v>
      </c>
      <c r="J87" s="1" t="s">
        <v>536</v>
      </c>
      <c r="P87" s="1" t="s">
        <v>490</v>
      </c>
      <c r="Q87" s="1">
        <v>0</v>
      </c>
      <c r="T87" s="1" t="s">
        <v>542</v>
      </c>
    </row>
    <row r="88" spans="1:20" ht="14.25" hidden="1" customHeight="1" x14ac:dyDescent="0.2">
      <c r="A88" s="1" t="s">
        <v>317</v>
      </c>
      <c r="B88" s="1" t="s">
        <v>485</v>
      </c>
      <c r="C88" s="1">
        <v>10</v>
      </c>
      <c r="D88" s="6">
        <v>299249</v>
      </c>
      <c r="E88" s="1" t="s">
        <v>167</v>
      </c>
      <c r="F88" s="1" t="str">
        <f t="shared" si="1"/>
        <v>A02</v>
      </c>
      <c r="G88" s="1" t="s">
        <v>543</v>
      </c>
      <c r="H88" s="1" t="s">
        <v>486</v>
      </c>
      <c r="I88" s="1">
        <v>2024</v>
      </c>
      <c r="J88" s="1" t="s">
        <v>536</v>
      </c>
      <c r="P88" s="1" t="s">
        <v>490</v>
      </c>
      <c r="Q88" s="1">
        <v>0</v>
      </c>
      <c r="T88" s="1" t="s">
        <v>544</v>
      </c>
    </row>
    <row r="89" spans="1:20" ht="14.25" hidden="1" customHeight="1" x14ac:dyDescent="0.2">
      <c r="A89" s="1" t="s">
        <v>317</v>
      </c>
      <c r="B89" s="1" t="s">
        <v>485</v>
      </c>
      <c r="C89" s="1">
        <v>10</v>
      </c>
      <c r="D89" s="6">
        <v>299249</v>
      </c>
      <c r="E89" s="1" t="s">
        <v>169</v>
      </c>
      <c r="F89" s="1" t="str">
        <f t="shared" si="1"/>
        <v>A03</v>
      </c>
      <c r="G89" s="1" t="s">
        <v>170</v>
      </c>
      <c r="H89" s="1" t="s">
        <v>486</v>
      </c>
      <c r="I89" s="1">
        <v>2024</v>
      </c>
      <c r="J89" s="1" t="s">
        <v>536</v>
      </c>
      <c r="P89" s="1" t="s">
        <v>490</v>
      </c>
      <c r="Q89" s="1">
        <v>0</v>
      </c>
      <c r="T89" s="1" t="s">
        <v>544</v>
      </c>
    </row>
    <row r="90" spans="1:20" ht="14.25" hidden="1" customHeight="1" x14ac:dyDescent="0.2">
      <c r="A90" s="1" t="s">
        <v>317</v>
      </c>
      <c r="B90" s="1" t="s">
        <v>485</v>
      </c>
      <c r="C90" s="1">
        <v>10</v>
      </c>
      <c r="D90" s="6">
        <v>299249</v>
      </c>
      <c r="E90" s="1" t="s">
        <v>171</v>
      </c>
      <c r="F90" s="1" t="str">
        <f t="shared" si="1"/>
        <v>A04</v>
      </c>
      <c r="G90" s="1" t="s">
        <v>523</v>
      </c>
      <c r="H90" s="1" t="s">
        <v>486</v>
      </c>
      <c r="I90" s="1">
        <v>2024</v>
      </c>
      <c r="J90" s="1" t="s">
        <v>536</v>
      </c>
      <c r="P90" s="1" t="s">
        <v>490</v>
      </c>
      <c r="Q90" s="1">
        <v>0</v>
      </c>
      <c r="T90" s="1" t="s">
        <v>544</v>
      </c>
    </row>
    <row r="91" spans="1:20" ht="14.25" hidden="1" customHeight="1" x14ac:dyDescent="0.2">
      <c r="A91" s="1" t="s">
        <v>317</v>
      </c>
      <c r="B91" s="1" t="s">
        <v>485</v>
      </c>
      <c r="C91" s="1">
        <v>10</v>
      </c>
      <c r="D91" s="6">
        <v>299249</v>
      </c>
      <c r="E91" s="1" t="s">
        <v>188</v>
      </c>
      <c r="F91" s="1" t="str">
        <f t="shared" si="1"/>
        <v>B01</v>
      </c>
      <c r="G91" s="1" t="s">
        <v>511</v>
      </c>
      <c r="H91" s="1" t="s">
        <v>486</v>
      </c>
      <c r="I91" s="1">
        <v>2024</v>
      </c>
      <c r="J91" s="1" t="s">
        <v>536</v>
      </c>
      <c r="P91" s="1" t="s">
        <v>490</v>
      </c>
      <c r="Q91" s="1">
        <v>0</v>
      </c>
      <c r="T91" s="1" t="s">
        <v>544</v>
      </c>
    </row>
    <row r="92" spans="1:20" ht="14.25" hidden="1" customHeight="1" x14ac:dyDescent="0.2">
      <c r="A92" s="1" t="s">
        <v>317</v>
      </c>
      <c r="B92" s="1" t="s">
        <v>485</v>
      </c>
      <c r="C92" s="1">
        <v>10</v>
      </c>
      <c r="D92" s="6">
        <v>299249</v>
      </c>
      <c r="E92" s="1" t="s">
        <v>190</v>
      </c>
      <c r="F92" s="1" t="str">
        <f t="shared" si="1"/>
        <v>B02</v>
      </c>
      <c r="G92" s="1" t="s">
        <v>498</v>
      </c>
      <c r="H92" s="1" t="s">
        <v>486</v>
      </c>
      <c r="I92" s="1">
        <v>2024</v>
      </c>
      <c r="J92" s="1" t="s">
        <v>536</v>
      </c>
      <c r="P92" s="1" t="s">
        <v>490</v>
      </c>
      <c r="Q92" s="1">
        <v>0</v>
      </c>
      <c r="T92" s="1" t="s">
        <v>544</v>
      </c>
    </row>
    <row r="93" spans="1:20" ht="14.25" hidden="1" customHeight="1" x14ac:dyDescent="0.2">
      <c r="A93" s="1" t="s">
        <v>317</v>
      </c>
      <c r="B93" s="1" t="s">
        <v>485</v>
      </c>
      <c r="C93" s="1">
        <v>10</v>
      </c>
      <c r="D93" s="6">
        <v>299249</v>
      </c>
      <c r="E93" s="1" t="s">
        <v>192</v>
      </c>
      <c r="F93" s="1" t="str">
        <f t="shared" si="1"/>
        <v>B03</v>
      </c>
      <c r="G93" s="1" t="s">
        <v>545</v>
      </c>
      <c r="H93" s="1" t="s">
        <v>486</v>
      </c>
      <c r="I93" s="1">
        <v>2024</v>
      </c>
      <c r="J93" s="1" t="s">
        <v>536</v>
      </c>
      <c r="P93" s="1" t="s">
        <v>490</v>
      </c>
      <c r="Q93" s="1">
        <v>0</v>
      </c>
      <c r="T93" s="1" t="s">
        <v>544</v>
      </c>
    </row>
    <row r="94" spans="1:20" ht="14.25" hidden="1" customHeight="1" x14ac:dyDescent="0.2">
      <c r="A94" s="1" t="s">
        <v>317</v>
      </c>
      <c r="B94" s="1" t="s">
        <v>485</v>
      </c>
      <c r="C94" s="1">
        <v>10</v>
      </c>
      <c r="D94" s="6">
        <v>299249</v>
      </c>
      <c r="E94" s="1" t="s">
        <v>215</v>
      </c>
      <c r="F94" s="1" t="str">
        <f t="shared" si="1"/>
        <v>C01</v>
      </c>
      <c r="G94" s="1" t="s">
        <v>499</v>
      </c>
      <c r="H94" s="1" t="s">
        <v>486</v>
      </c>
      <c r="I94" s="1">
        <v>2024</v>
      </c>
      <c r="J94" s="1" t="s">
        <v>536</v>
      </c>
      <c r="P94" s="1" t="s">
        <v>490</v>
      </c>
      <c r="Q94" s="1">
        <v>7</v>
      </c>
      <c r="R94" s="1">
        <v>7</v>
      </c>
      <c r="S94" s="1">
        <v>9</v>
      </c>
    </row>
    <row r="95" spans="1:20" ht="14.25" hidden="1" customHeight="1" x14ac:dyDescent="0.2">
      <c r="A95" s="1" t="s">
        <v>317</v>
      </c>
      <c r="B95" s="1" t="s">
        <v>485</v>
      </c>
      <c r="C95" s="1">
        <v>10</v>
      </c>
      <c r="D95" s="6">
        <v>299249</v>
      </c>
      <c r="E95" s="1" t="s">
        <v>217</v>
      </c>
      <c r="F95" s="1" t="str">
        <f t="shared" si="1"/>
        <v>C02</v>
      </c>
      <c r="G95" s="1" t="s">
        <v>493</v>
      </c>
      <c r="H95" s="1" t="s">
        <v>486</v>
      </c>
      <c r="I95" s="1">
        <v>2024</v>
      </c>
      <c r="J95" s="1" t="s">
        <v>536</v>
      </c>
      <c r="P95" s="1" t="s">
        <v>490</v>
      </c>
      <c r="Q95" s="1">
        <v>3</v>
      </c>
      <c r="R95" s="1">
        <v>3</v>
      </c>
      <c r="S95" s="1">
        <v>13</v>
      </c>
    </row>
    <row r="96" spans="1:20" ht="14.25" hidden="1" customHeight="1" x14ac:dyDescent="0.2">
      <c r="A96" s="1" t="s">
        <v>317</v>
      </c>
      <c r="B96" s="1" t="s">
        <v>485</v>
      </c>
      <c r="C96" s="1">
        <v>10</v>
      </c>
      <c r="D96" s="6">
        <v>299249</v>
      </c>
      <c r="E96" s="1" t="s">
        <v>219</v>
      </c>
      <c r="F96" s="1" t="str">
        <f t="shared" si="1"/>
        <v>C03</v>
      </c>
      <c r="G96" s="1" t="s">
        <v>531</v>
      </c>
      <c r="H96" s="1" t="s">
        <v>486</v>
      </c>
      <c r="I96" s="1">
        <v>2024</v>
      </c>
      <c r="J96" s="1" t="s">
        <v>536</v>
      </c>
      <c r="P96" s="1" t="s">
        <v>490</v>
      </c>
      <c r="Q96" s="1">
        <v>1</v>
      </c>
      <c r="R96" s="1">
        <v>1</v>
      </c>
      <c r="S96" s="1">
        <v>1</v>
      </c>
    </row>
    <row r="97" spans="1:20" ht="14.25" hidden="1" customHeight="1" x14ac:dyDescent="0.2">
      <c r="A97" s="1" t="s">
        <v>317</v>
      </c>
      <c r="B97" s="1" t="s">
        <v>485</v>
      </c>
      <c r="C97" s="1">
        <v>10</v>
      </c>
      <c r="D97" s="6">
        <v>299249</v>
      </c>
      <c r="E97" s="1" t="s">
        <v>221</v>
      </c>
      <c r="F97" s="1" t="str">
        <f t="shared" si="1"/>
        <v>C04</v>
      </c>
      <c r="G97" s="1" t="s">
        <v>530</v>
      </c>
      <c r="H97" s="1" t="s">
        <v>486</v>
      </c>
      <c r="I97" s="1">
        <v>2024</v>
      </c>
      <c r="J97" s="1" t="s">
        <v>536</v>
      </c>
      <c r="P97" s="1" t="s">
        <v>490</v>
      </c>
      <c r="Q97" s="1">
        <v>0</v>
      </c>
      <c r="T97" s="1" t="s">
        <v>544</v>
      </c>
    </row>
    <row r="98" spans="1:20" ht="14.25" customHeight="1" x14ac:dyDescent="0.2">
      <c r="A98" s="1" t="s">
        <v>317</v>
      </c>
      <c r="B98" s="1" t="s">
        <v>485</v>
      </c>
      <c r="C98" s="1">
        <v>10</v>
      </c>
      <c r="D98" s="6">
        <v>299249</v>
      </c>
      <c r="E98" s="1" t="s">
        <v>257</v>
      </c>
      <c r="F98" s="1" t="str">
        <f t="shared" si="1"/>
        <v>D01</v>
      </c>
      <c r="G98" s="1" t="s">
        <v>514</v>
      </c>
      <c r="H98" s="1" t="s">
        <v>486</v>
      </c>
      <c r="I98" s="1">
        <v>2024</v>
      </c>
      <c r="J98" s="1" t="s">
        <v>536</v>
      </c>
      <c r="P98" s="1" t="s">
        <v>490</v>
      </c>
      <c r="Q98" s="1">
        <v>0</v>
      </c>
      <c r="T98" s="1" t="s">
        <v>546</v>
      </c>
    </row>
    <row r="99" spans="1:20" ht="14.25" hidden="1" customHeight="1" x14ac:dyDescent="0.2">
      <c r="A99" s="1" t="s">
        <v>317</v>
      </c>
      <c r="B99" s="1" t="s">
        <v>485</v>
      </c>
      <c r="C99" s="1">
        <v>10</v>
      </c>
      <c r="D99" s="6">
        <v>299249</v>
      </c>
      <c r="E99" s="1" t="s">
        <v>259</v>
      </c>
      <c r="F99" s="1" t="str">
        <f t="shared" si="1"/>
        <v>D02</v>
      </c>
      <c r="G99" s="1" t="s">
        <v>547</v>
      </c>
      <c r="H99" s="1" t="s">
        <v>486</v>
      </c>
      <c r="I99" s="1">
        <v>2024</v>
      </c>
      <c r="J99" s="1" t="s">
        <v>536</v>
      </c>
      <c r="P99" s="1" t="s">
        <v>490</v>
      </c>
      <c r="Q99" s="1">
        <v>0</v>
      </c>
      <c r="T99" s="1" t="s">
        <v>546</v>
      </c>
    </row>
    <row r="100" spans="1:20" ht="14.25" hidden="1" customHeight="1" x14ac:dyDescent="0.2">
      <c r="A100" s="1" t="s">
        <v>317</v>
      </c>
      <c r="B100" s="1" t="s">
        <v>485</v>
      </c>
      <c r="C100" s="1">
        <v>10</v>
      </c>
      <c r="D100" s="6">
        <v>299249</v>
      </c>
      <c r="E100" s="1" t="s">
        <v>261</v>
      </c>
      <c r="F100" s="1" t="str">
        <f t="shared" si="1"/>
        <v>D03</v>
      </c>
      <c r="G100" s="1" t="s">
        <v>532</v>
      </c>
      <c r="H100" s="1" t="s">
        <v>486</v>
      </c>
      <c r="I100" s="1">
        <v>2024</v>
      </c>
      <c r="J100" s="1" t="s">
        <v>536</v>
      </c>
      <c r="P100" s="1" t="s">
        <v>490</v>
      </c>
      <c r="Q100" s="1">
        <v>0</v>
      </c>
      <c r="T100" s="1" t="s">
        <v>546</v>
      </c>
    </row>
    <row r="101" spans="1:20" ht="14.25" hidden="1" customHeight="1" x14ac:dyDescent="0.2">
      <c r="A101" s="1" t="s">
        <v>317</v>
      </c>
      <c r="B101" s="1" t="s">
        <v>485</v>
      </c>
      <c r="C101" s="1">
        <v>10</v>
      </c>
      <c r="D101" s="6">
        <v>299249</v>
      </c>
      <c r="E101" s="1" t="s">
        <v>263</v>
      </c>
      <c r="F101" s="1" t="str">
        <f t="shared" si="1"/>
        <v>D04</v>
      </c>
      <c r="G101" s="1" t="s">
        <v>520</v>
      </c>
      <c r="H101" s="1" t="s">
        <v>486</v>
      </c>
      <c r="I101" s="1">
        <v>2024</v>
      </c>
      <c r="J101" s="1" t="s">
        <v>536</v>
      </c>
      <c r="P101" s="1" t="s">
        <v>490</v>
      </c>
      <c r="Q101" s="1">
        <v>0</v>
      </c>
      <c r="T101" s="1" t="s">
        <v>546</v>
      </c>
    </row>
    <row r="102" spans="1:20" ht="14.25" hidden="1" customHeight="1" x14ac:dyDescent="0.2">
      <c r="A102" s="1" t="s">
        <v>318</v>
      </c>
      <c r="B102" s="1" t="s">
        <v>485</v>
      </c>
      <c r="C102" s="1">
        <v>10</v>
      </c>
      <c r="D102" s="6">
        <v>499234</v>
      </c>
      <c r="E102" s="1" t="s">
        <v>167</v>
      </c>
      <c r="F102" s="1" t="str">
        <f t="shared" si="1"/>
        <v>A02</v>
      </c>
      <c r="G102" s="1" t="s">
        <v>543</v>
      </c>
      <c r="H102" s="1" t="s">
        <v>486</v>
      </c>
      <c r="I102" s="1">
        <v>2024</v>
      </c>
      <c r="J102" s="1" t="s">
        <v>548</v>
      </c>
      <c r="P102" s="1" t="s">
        <v>490</v>
      </c>
      <c r="Q102" s="1">
        <v>2</v>
      </c>
      <c r="R102" s="1">
        <v>2</v>
      </c>
      <c r="S102" s="1">
        <v>2</v>
      </c>
    </row>
    <row r="103" spans="1:20" ht="14.25" hidden="1" customHeight="1" x14ac:dyDescent="0.2">
      <c r="A103" s="1" t="s">
        <v>318</v>
      </c>
      <c r="B103" s="1" t="s">
        <v>485</v>
      </c>
      <c r="C103" s="1">
        <v>10</v>
      </c>
      <c r="D103" s="6">
        <v>499234</v>
      </c>
      <c r="E103" s="1" t="s">
        <v>169</v>
      </c>
      <c r="F103" s="1" t="str">
        <f t="shared" si="1"/>
        <v>A03</v>
      </c>
      <c r="G103" s="1" t="s">
        <v>170</v>
      </c>
      <c r="H103" s="1" t="s">
        <v>486</v>
      </c>
      <c r="I103" s="1">
        <v>2024</v>
      </c>
      <c r="J103" s="1" t="s">
        <v>548</v>
      </c>
      <c r="P103" s="1" t="s">
        <v>490</v>
      </c>
      <c r="Q103" s="1">
        <v>10</v>
      </c>
      <c r="R103" s="1">
        <v>10</v>
      </c>
      <c r="S103" s="1">
        <v>10</v>
      </c>
    </row>
    <row r="104" spans="1:20" ht="14.25" hidden="1" customHeight="1" x14ac:dyDescent="0.2">
      <c r="A104" s="1" t="s">
        <v>318</v>
      </c>
      <c r="B104" s="1" t="s">
        <v>485</v>
      </c>
      <c r="C104" s="1">
        <v>10</v>
      </c>
      <c r="D104" s="6">
        <v>499234</v>
      </c>
      <c r="E104" s="1" t="s">
        <v>188</v>
      </c>
      <c r="F104" s="1" t="str">
        <f t="shared" si="1"/>
        <v>B01</v>
      </c>
      <c r="G104" s="1" t="s">
        <v>511</v>
      </c>
      <c r="H104" s="1" t="s">
        <v>486</v>
      </c>
      <c r="I104" s="1">
        <v>2024</v>
      </c>
      <c r="J104" s="1" t="s">
        <v>548</v>
      </c>
      <c r="P104" s="1" t="s">
        <v>490</v>
      </c>
      <c r="Q104" s="1">
        <v>0</v>
      </c>
      <c r="R104" s="1">
        <v>0</v>
      </c>
      <c r="S104" s="1">
        <v>1</v>
      </c>
    </row>
    <row r="105" spans="1:20" ht="14.25" hidden="1" customHeight="1" x14ac:dyDescent="0.2">
      <c r="A105" s="1" t="s">
        <v>318</v>
      </c>
      <c r="B105" s="1" t="s">
        <v>485</v>
      </c>
      <c r="C105" s="1">
        <v>10</v>
      </c>
      <c r="D105" s="6">
        <v>499234</v>
      </c>
      <c r="E105" s="1" t="s">
        <v>195</v>
      </c>
      <c r="F105" s="1" t="str">
        <f t="shared" si="1"/>
        <v>B04</v>
      </c>
      <c r="G105" s="1" t="s">
        <v>549</v>
      </c>
      <c r="H105" s="1" t="s">
        <v>486</v>
      </c>
      <c r="I105" s="1">
        <v>2024</v>
      </c>
      <c r="J105" s="1" t="s">
        <v>548</v>
      </c>
      <c r="P105" s="1" t="s">
        <v>490</v>
      </c>
      <c r="Q105" s="1">
        <v>0</v>
      </c>
      <c r="R105" s="1">
        <v>0</v>
      </c>
      <c r="S105" s="1">
        <v>1</v>
      </c>
    </row>
    <row r="106" spans="1:20" ht="14.25" hidden="1" customHeight="1" x14ac:dyDescent="0.2">
      <c r="A106" s="1" t="s">
        <v>318</v>
      </c>
      <c r="B106" s="1" t="s">
        <v>485</v>
      </c>
      <c r="C106" s="1">
        <v>10</v>
      </c>
      <c r="D106" s="6">
        <v>499234</v>
      </c>
      <c r="E106" s="1" t="s">
        <v>223</v>
      </c>
      <c r="F106" s="1" t="str">
        <f t="shared" si="1"/>
        <v>C05</v>
      </c>
      <c r="G106" s="1" t="s">
        <v>528</v>
      </c>
      <c r="H106" s="1" t="s">
        <v>486</v>
      </c>
      <c r="I106" s="1">
        <v>2024</v>
      </c>
      <c r="J106" s="1" t="s">
        <v>548</v>
      </c>
      <c r="P106" s="1" t="s">
        <v>490</v>
      </c>
      <c r="Q106" s="1">
        <v>3</v>
      </c>
      <c r="R106" s="1">
        <v>3</v>
      </c>
      <c r="S106" s="1">
        <v>5</v>
      </c>
    </row>
    <row r="107" spans="1:20" ht="14.25" hidden="1" customHeight="1" x14ac:dyDescent="0.2">
      <c r="A107" s="1" t="s">
        <v>318</v>
      </c>
      <c r="B107" s="1" t="s">
        <v>485</v>
      </c>
      <c r="C107" s="1">
        <v>10</v>
      </c>
      <c r="D107" s="6">
        <v>499234</v>
      </c>
      <c r="E107" s="1" t="s">
        <v>261</v>
      </c>
      <c r="F107" s="1" t="str">
        <f t="shared" si="1"/>
        <v>D03</v>
      </c>
      <c r="G107" s="1" t="s">
        <v>532</v>
      </c>
      <c r="H107" s="1" t="s">
        <v>486</v>
      </c>
      <c r="I107" s="1">
        <v>2024</v>
      </c>
      <c r="J107" s="1" t="s">
        <v>548</v>
      </c>
      <c r="P107" s="1" t="s">
        <v>490</v>
      </c>
      <c r="Q107" s="1">
        <v>0</v>
      </c>
      <c r="R107" s="1">
        <v>0</v>
      </c>
      <c r="S107" s="1">
        <v>2</v>
      </c>
    </row>
    <row r="108" spans="1:20" ht="14.25" hidden="1" customHeight="1" x14ac:dyDescent="0.2">
      <c r="A108" s="1" t="s">
        <v>319</v>
      </c>
      <c r="B108" s="1" t="s">
        <v>485</v>
      </c>
      <c r="C108" s="1">
        <v>10</v>
      </c>
      <c r="D108" s="6">
        <v>99723</v>
      </c>
      <c r="E108" s="1" t="s">
        <v>164</v>
      </c>
      <c r="F108" s="1" t="str">
        <f t="shared" si="1"/>
        <v>A01</v>
      </c>
      <c r="G108" s="1" t="s">
        <v>165</v>
      </c>
      <c r="H108" s="1" t="s">
        <v>486</v>
      </c>
      <c r="I108" s="1">
        <v>2024</v>
      </c>
      <c r="J108" s="1" t="s">
        <v>550</v>
      </c>
      <c r="P108" s="1" t="s">
        <v>490</v>
      </c>
      <c r="Q108" s="1">
        <v>0</v>
      </c>
      <c r="T108" s="1" t="s">
        <v>551</v>
      </c>
    </row>
    <row r="109" spans="1:20" ht="14.25" hidden="1" customHeight="1" x14ac:dyDescent="0.2">
      <c r="A109" s="1" t="s">
        <v>319</v>
      </c>
      <c r="B109" s="1" t="s">
        <v>485</v>
      </c>
      <c r="C109" s="1">
        <v>10</v>
      </c>
      <c r="D109" s="6">
        <v>99723</v>
      </c>
      <c r="E109" s="1" t="s">
        <v>169</v>
      </c>
      <c r="F109" s="1" t="str">
        <f t="shared" si="1"/>
        <v>A03</v>
      </c>
      <c r="G109" s="1" t="s">
        <v>170</v>
      </c>
      <c r="H109" s="1" t="s">
        <v>486</v>
      </c>
      <c r="I109" s="1">
        <v>2024</v>
      </c>
      <c r="J109" s="1" t="s">
        <v>550</v>
      </c>
      <c r="P109" s="1" t="s">
        <v>490</v>
      </c>
      <c r="Q109" s="1">
        <v>1</v>
      </c>
      <c r="R109" s="1">
        <v>1</v>
      </c>
      <c r="S109" s="1">
        <v>1</v>
      </c>
    </row>
    <row r="110" spans="1:20" ht="14.25" hidden="1" customHeight="1" x14ac:dyDescent="0.2">
      <c r="A110" s="1" t="s">
        <v>319</v>
      </c>
      <c r="B110" s="1" t="s">
        <v>485</v>
      </c>
      <c r="C110" s="1">
        <v>10</v>
      </c>
      <c r="D110" s="6">
        <v>99723</v>
      </c>
      <c r="E110" s="1" t="s">
        <v>171</v>
      </c>
      <c r="F110" s="1" t="str">
        <f t="shared" si="1"/>
        <v>A04</v>
      </c>
      <c r="G110" s="1" t="s">
        <v>523</v>
      </c>
      <c r="H110" s="1" t="s">
        <v>486</v>
      </c>
      <c r="I110" s="1">
        <v>2024</v>
      </c>
      <c r="J110" s="1" t="s">
        <v>550</v>
      </c>
      <c r="P110" s="1" t="s">
        <v>490</v>
      </c>
      <c r="Q110" s="1">
        <v>0</v>
      </c>
      <c r="R110" s="1">
        <v>2</v>
      </c>
      <c r="S110" s="1">
        <v>2</v>
      </c>
    </row>
    <row r="111" spans="1:20" ht="14.25" hidden="1" customHeight="1" x14ac:dyDescent="0.2">
      <c r="A111" s="1" t="s">
        <v>319</v>
      </c>
      <c r="B111" s="1" t="s">
        <v>485</v>
      </c>
      <c r="C111" s="1">
        <v>10</v>
      </c>
      <c r="D111" s="6">
        <v>99723</v>
      </c>
      <c r="E111" s="1" t="s">
        <v>197</v>
      </c>
      <c r="F111" s="1" t="str">
        <f t="shared" si="1"/>
        <v>B05</v>
      </c>
      <c r="G111" s="1" t="s">
        <v>198</v>
      </c>
      <c r="H111" s="1" t="s">
        <v>486</v>
      </c>
      <c r="I111" s="1">
        <v>2024</v>
      </c>
      <c r="J111" s="1" t="s">
        <v>550</v>
      </c>
      <c r="P111" s="1" t="s">
        <v>490</v>
      </c>
      <c r="Q111" s="1">
        <v>10</v>
      </c>
      <c r="R111" s="1">
        <v>10</v>
      </c>
      <c r="S111" s="1">
        <v>34</v>
      </c>
      <c r="T111" s="1" t="s">
        <v>552</v>
      </c>
    </row>
    <row r="112" spans="1:20" ht="14.25" hidden="1" customHeight="1" x14ac:dyDescent="0.2">
      <c r="A112" s="1" t="s">
        <v>319</v>
      </c>
      <c r="B112" s="1" t="s">
        <v>485</v>
      </c>
      <c r="C112" s="1">
        <v>10</v>
      </c>
      <c r="D112" s="6">
        <v>99723</v>
      </c>
      <c r="E112" s="1" t="s">
        <v>217</v>
      </c>
      <c r="F112" s="1" t="str">
        <f t="shared" si="1"/>
        <v>C02</v>
      </c>
      <c r="G112" s="1" t="s">
        <v>493</v>
      </c>
      <c r="H112" s="1" t="s">
        <v>486</v>
      </c>
      <c r="I112" s="1">
        <v>2024</v>
      </c>
      <c r="J112" s="1" t="s">
        <v>550</v>
      </c>
      <c r="P112" s="1" t="s">
        <v>490</v>
      </c>
      <c r="Q112" s="1">
        <v>12</v>
      </c>
      <c r="R112" s="1">
        <v>12</v>
      </c>
      <c r="S112" s="1">
        <v>20</v>
      </c>
    </row>
    <row r="113" spans="1:19" ht="14.25" hidden="1" customHeight="1" x14ac:dyDescent="0.2">
      <c r="A113" s="1" t="s">
        <v>320</v>
      </c>
      <c r="B113" s="1" t="s">
        <v>485</v>
      </c>
      <c r="C113" s="1">
        <v>10</v>
      </c>
      <c r="D113" s="6">
        <v>249999</v>
      </c>
      <c r="E113" s="1" t="s">
        <v>164</v>
      </c>
      <c r="F113" s="1" t="str">
        <f t="shared" si="1"/>
        <v>A01</v>
      </c>
      <c r="G113" s="1" t="s">
        <v>165</v>
      </c>
      <c r="H113" s="1" t="s">
        <v>486</v>
      </c>
      <c r="I113" s="1">
        <v>2024</v>
      </c>
      <c r="J113" s="1" t="s">
        <v>553</v>
      </c>
      <c r="P113" s="1" t="s">
        <v>490</v>
      </c>
      <c r="Q113" s="1">
        <v>0</v>
      </c>
      <c r="R113" s="1">
        <v>0</v>
      </c>
      <c r="S113" s="1">
        <v>2</v>
      </c>
    </row>
    <row r="114" spans="1:19" ht="14.25" hidden="1" customHeight="1" x14ac:dyDescent="0.2">
      <c r="A114" s="1" t="s">
        <v>320</v>
      </c>
      <c r="B114" s="1" t="s">
        <v>485</v>
      </c>
      <c r="C114" s="1">
        <v>10</v>
      </c>
      <c r="D114" s="6">
        <v>249999</v>
      </c>
      <c r="E114" s="1" t="s">
        <v>190</v>
      </c>
      <c r="F114" s="1" t="str">
        <f t="shared" si="1"/>
        <v>B02</v>
      </c>
      <c r="G114" s="1" t="s">
        <v>498</v>
      </c>
      <c r="H114" s="1" t="s">
        <v>486</v>
      </c>
      <c r="I114" s="1">
        <v>2024</v>
      </c>
      <c r="J114" s="1" t="s">
        <v>553</v>
      </c>
      <c r="P114" s="1" t="s">
        <v>490</v>
      </c>
      <c r="Q114" s="1">
        <v>0</v>
      </c>
      <c r="R114" s="1">
        <v>0</v>
      </c>
      <c r="S114" s="1">
        <v>1</v>
      </c>
    </row>
    <row r="115" spans="1:19" ht="14.25" hidden="1" customHeight="1" x14ac:dyDescent="0.2">
      <c r="A115" s="1" t="s">
        <v>320</v>
      </c>
      <c r="B115" s="1" t="s">
        <v>485</v>
      </c>
      <c r="C115" s="1">
        <v>10</v>
      </c>
      <c r="D115" s="6">
        <v>249999</v>
      </c>
      <c r="E115" s="1" t="s">
        <v>197</v>
      </c>
      <c r="F115" s="1" t="str">
        <f t="shared" si="1"/>
        <v>B05</v>
      </c>
      <c r="G115" s="1" t="s">
        <v>198</v>
      </c>
      <c r="H115" s="1" t="s">
        <v>486</v>
      </c>
      <c r="I115" s="1">
        <v>2024</v>
      </c>
      <c r="J115" s="1" t="s">
        <v>553</v>
      </c>
      <c r="P115" s="1" t="s">
        <v>490</v>
      </c>
      <c r="Q115" s="1">
        <v>0</v>
      </c>
      <c r="R115" s="1">
        <v>0</v>
      </c>
      <c r="S115" s="1">
        <v>40</v>
      </c>
    </row>
    <row r="116" spans="1:19" ht="14.25" hidden="1" customHeight="1" x14ac:dyDescent="0.2">
      <c r="A116" s="1" t="s">
        <v>320</v>
      </c>
      <c r="B116" s="1" t="s">
        <v>485</v>
      </c>
      <c r="C116" s="1">
        <v>10</v>
      </c>
      <c r="D116" s="6">
        <v>249999</v>
      </c>
      <c r="E116" s="1" t="s">
        <v>223</v>
      </c>
      <c r="F116" s="1" t="str">
        <f t="shared" si="1"/>
        <v>C05</v>
      </c>
      <c r="G116" s="1" t="s">
        <v>528</v>
      </c>
      <c r="H116" s="1" t="s">
        <v>486</v>
      </c>
      <c r="I116" s="1">
        <v>2024</v>
      </c>
      <c r="J116" s="1" t="s">
        <v>553</v>
      </c>
      <c r="N116" s="1" t="s">
        <v>534</v>
      </c>
      <c r="P116" s="1" t="s">
        <v>490</v>
      </c>
      <c r="Q116" s="1">
        <v>0</v>
      </c>
      <c r="R116" s="1">
        <v>1</v>
      </c>
      <c r="S116" s="1">
        <v>2</v>
      </c>
    </row>
    <row r="117" spans="1:19" ht="14.25" hidden="1" customHeight="1" x14ac:dyDescent="0.2">
      <c r="A117" s="1" t="s">
        <v>320</v>
      </c>
      <c r="B117" s="1" t="s">
        <v>485</v>
      </c>
      <c r="C117" s="1">
        <v>10</v>
      </c>
      <c r="D117" s="6">
        <v>249999</v>
      </c>
      <c r="E117" s="1" t="s">
        <v>250</v>
      </c>
      <c r="F117" s="1" t="str">
        <f t="shared" si="1"/>
        <v>C17</v>
      </c>
      <c r="G117" s="1" t="s">
        <v>509</v>
      </c>
      <c r="H117" s="1" t="s">
        <v>486</v>
      </c>
      <c r="I117" s="1">
        <v>2024</v>
      </c>
      <c r="J117" s="1" t="s">
        <v>553</v>
      </c>
      <c r="P117" s="1" t="s">
        <v>490</v>
      </c>
      <c r="Q117" s="1">
        <v>0</v>
      </c>
      <c r="R117" s="1">
        <v>0</v>
      </c>
      <c r="S117" s="1">
        <v>1</v>
      </c>
    </row>
    <row r="118" spans="1:19" ht="14.25" hidden="1" customHeight="1" x14ac:dyDescent="0.2">
      <c r="A118" s="1" t="s">
        <v>321</v>
      </c>
      <c r="B118" s="1" t="s">
        <v>485</v>
      </c>
      <c r="C118" s="1">
        <v>10</v>
      </c>
      <c r="D118" s="6">
        <v>336538</v>
      </c>
      <c r="E118" s="1" t="s">
        <v>169</v>
      </c>
      <c r="F118" s="1" t="str">
        <f t="shared" si="1"/>
        <v>A03</v>
      </c>
      <c r="G118" s="1" t="s">
        <v>170</v>
      </c>
      <c r="H118" s="1" t="s">
        <v>486</v>
      </c>
      <c r="I118" s="1">
        <v>2024</v>
      </c>
      <c r="J118" s="1" t="s">
        <v>554</v>
      </c>
      <c r="P118" s="1" t="s">
        <v>490</v>
      </c>
      <c r="Q118" s="1">
        <v>1</v>
      </c>
      <c r="R118" s="1">
        <v>1</v>
      </c>
      <c r="S118" s="1">
        <v>2</v>
      </c>
    </row>
    <row r="119" spans="1:19" ht="14.25" hidden="1" customHeight="1" x14ac:dyDescent="0.2">
      <c r="A119" s="1" t="s">
        <v>321</v>
      </c>
      <c r="B119" s="1" t="s">
        <v>485</v>
      </c>
      <c r="C119" s="1">
        <v>10</v>
      </c>
      <c r="D119" s="6">
        <v>336538</v>
      </c>
      <c r="E119" s="1" t="s">
        <v>215</v>
      </c>
      <c r="F119" s="1" t="str">
        <f t="shared" si="1"/>
        <v>C01</v>
      </c>
      <c r="G119" s="1" t="s">
        <v>499</v>
      </c>
      <c r="H119" s="1" t="s">
        <v>486</v>
      </c>
      <c r="I119" s="1">
        <v>2024</v>
      </c>
      <c r="J119" s="1" t="s">
        <v>554</v>
      </c>
      <c r="P119" s="1" t="s">
        <v>490</v>
      </c>
      <c r="Q119" s="1">
        <v>3</v>
      </c>
      <c r="R119" s="1">
        <v>3</v>
      </c>
      <c r="S119" s="1">
        <v>2</v>
      </c>
    </row>
    <row r="120" spans="1:19" ht="14.25" hidden="1" customHeight="1" x14ac:dyDescent="0.2">
      <c r="A120" s="1" t="s">
        <v>321</v>
      </c>
      <c r="B120" s="1" t="s">
        <v>485</v>
      </c>
      <c r="C120" s="1">
        <v>10</v>
      </c>
      <c r="D120" s="6">
        <v>336538</v>
      </c>
      <c r="E120" s="1" t="s">
        <v>217</v>
      </c>
      <c r="F120" s="1" t="str">
        <f t="shared" si="1"/>
        <v>C02</v>
      </c>
      <c r="G120" s="1" t="s">
        <v>493</v>
      </c>
      <c r="H120" s="1" t="s">
        <v>486</v>
      </c>
      <c r="I120" s="1">
        <v>2024</v>
      </c>
      <c r="J120" s="1" t="s">
        <v>554</v>
      </c>
      <c r="P120" s="1" t="s">
        <v>490</v>
      </c>
      <c r="Q120" s="1">
        <v>0</v>
      </c>
      <c r="R120" s="1">
        <v>0</v>
      </c>
      <c r="S120" s="1">
        <v>1</v>
      </c>
    </row>
    <row r="121" spans="1:19" ht="14.25" hidden="1" customHeight="1" x14ac:dyDescent="0.2">
      <c r="A121" s="1" t="s">
        <v>321</v>
      </c>
      <c r="B121" s="1" t="s">
        <v>485</v>
      </c>
      <c r="C121" s="1">
        <v>10</v>
      </c>
      <c r="D121" s="6">
        <v>336538</v>
      </c>
      <c r="E121" s="1" t="s">
        <v>219</v>
      </c>
      <c r="F121" s="1" t="str">
        <f t="shared" si="1"/>
        <v>C03</v>
      </c>
      <c r="G121" s="1" t="s">
        <v>531</v>
      </c>
      <c r="H121" s="1" t="s">
        <v>486</v>
      </c>
      <c r="I121" s="1">
        <v>2024</v>
      </c>
      <c r="J121" s="1" t="s">
        <v>554</v>
      </c>
      <c r="M121" s="1" t="s">
        <v>504</v>
      </c>
      <c r="P121" s="1" t="s">
        <v>490</v>
      </c>
      <c r="Q121" s="1">
        <v>0</v>
      </c>
      <c r="R121" s="1">
        <v>0</v>
      </c>
      <c r="S121" s="1">
        <v>1</v>
      </c>
    </row>
    <row r="122" spans="1:19" ht="14.25" hidden="1" customHeight="1" x14ac:dyDescent="0.2">
      <c r="A122" s="1" t="s">
        <v>321</v>
      </c>
      <c r="B122" s="1" t="s">
        <v>485</v>
      </c>
      <c r="C122" s="1">
        <v>11</v>
      </c>
      <c r="D122" s="6">
        <v>336538</v>
      </c>
      <c r="E122" s="1" t="s">
        <v>223</v>
      </c>
      <c r="F122" s="1" t="str">
        <f t="shared" si="1"/>
        <v>C05</v>
      </c>
      <c r="G122" s="1" t="s">
        <v>528</v>
      </c>
      <c r="H122" s="1" t="s">
        <v>486</v>
      </c>
      <c r="I122" s="1">
        <v>2024</v>
      </c>
      <c r="J122" s="1" t="s">
        <v>554</v>
      </c>
      <c r="P122" s="1" t="s">
        <v>490</v>
      </c>
      <c r="Q122" s="1">
        <v>0</v>
      </c>
      <c r="R122" s="1">
        <v>0</v>
      </c>
      <c r="S122" s="1">
        <v>1</v>
      </c>
    </row>
    <row r="123" spans="1:19" ht="14.25" hidden="1" customHeight="1" x14ac:dyDescent="0.2">
      <c r="A123" s="1" t="s">
        <v>322</v>
      </c>
      <c r="B123" s="1" t="s">
        <v>485</v>
      </c>
      <c r="C123" s="1">
        <v>11</v>
      </c>
      <c r="D123" s="6">
        <v>303425</v>
      </c>
      <c r="E123" s="1" t="s">
        <v>238</v>
      </c>
      <c r="F123" s="1" t="str">
        <f t="shared" si="1"/>
        <v>C12</v>
      </c>
      <c r="G123" s="1" t="s">
        <v>525</v>
      </c>
      <c r="H123" s="1" t="s">
        <v>486</v>
      </c>
      <c r="I123" s="1">
        <v>2024</v>
      </c>
      <c r="J123" s="1" t="s">
        <v>487</v>
      </c>
      <c r="N123" s="1" t="s">
        <v>534</v>
      </c>
      <c r="P123" s="1" t="s">
        <v>490</v>
      </c>
      <c r="Q123" s="1">
        <v>0</v>
      </c>
      <c r="R123" s="1">
        <v>0</v>
      </c>
      <c r="S123" s="1" t="s">
        <v>490</v>
      </c>
    </row>
    <row r="124" spans="1:19" ht="14.25" hidden="1" customHeight="1" x14ac:dyDescent="0.2">
      <c r="A124" s="1" t="s">
        <v>322</v>
      </c>
      <c r="B124" s="1" t="s">
        <v>485</v>
      </c>
      <c r="C124" s="1">
        <v>11</v>
      </c>
      <c r="D124" s="6">
        <v>303425</v>
      </c>
      <c r="E124" s="1" t="s">
        <v>263</v>
      </c>
      <c r="F124" s="1" t="str">
        <f t="shared" si="1"/>
        <v>D04</v>
      </c>
      <c r="G124" s="1" t="s">
        <v>520</v>
      </c>
      <c r="H124" s="1" t="s">
        <v>486</v>
      </c>
      <c r="I124" s="1">
        <v>2024</v>
      </c>
      <c r="J124" s="1" t="s">
        <v>487</v>
      </c>
      <c r="P124" s="1" t="s">
        <v>490</v>
      </c>
      <c r="Q124" s="1">
        <v>0</v>
      </c>
      <c r="R124" s="1">
        <v>0</v>
      </c>
      <c r="S124" s="1" t="s">
        <v>490</v>
      </c>
    </row>
    <row r="125" spans="1:19" ht="14.25" hidden="1" customHeight="1" x14ac:dyDescent="0.2">
      <c r="A125" s="1" t="s">
        <v>322</v>
      </c>
      <c r="B125" s="1" t="s">
        <v>485</v>
      </c>
      <c r="C125" s="1">
        <v>11</v>
      </c>
      <c r="D125" s="6">
        <v>303425</v>
      </c>
      <c r="E125" s="1" t="s">
        <v>279</v>
      </c>
      <c r="F125" s="1" t="str">
        <f t="shared" si="1"/>
        <v>D12</v>
      </c>
      <c r="G125" s="1" t="s">
        <v>555</v>
      </c>
      <c r="H125" s="1" t="s">
        <v>486</v>
      </c>
      <c r="I125" s="1">
        <v>2024</v>
      </c>
      <c r="J125" s="1" t="s">
        <v>487</v>
      </c>
      <c r="P125" s="1" t="s">
        <v>490</v>
      </c>
      <c r="Q125" s="1">
        <v>0</v>
      </c>
      <c r="R125" s="1">
        <v>0</v>
      </c>
      <c r="S125" s="1" t="s">
        <v>490</v>
      </c>
    </row>
    <row r="126" spans="1:19" ht="14.25" hidden="1" customHeight="1" x14ac:dyDescent="0.2">
      <c r="A126" s="1" t="s">
        <v>323</v>
      </c>
      <c r="B126" s="1" t="s">
        <v>485</v>
      </c>
      <c r="C126" s="1">
        <v>11</v>
      </c>
      <c r="D126" s="6">
        <v>396655</v>
      </c>
      <c r="E126" s="1" t="s">
        <v>164</v>
      </c>
      <c r="F126" s="1" t="str">
        <f t="shared" si="1"/>
        <v>A01</v>
      </c>
      <c r="G126" s="1" t="s">
        <v>165</v>
      </c>
      <c r="H126" s="1" t="s">
        <v>486</v>
      </c>
      <c r="I126" s="1">
        <v>2024</v>
      </c>
      <c r="J126" s="1" t="s">
        <v>521</v>
      </c>
      <c r="K126" s="1" t="s">
        <v>488</v>
      </c>
      <c r="L126" s="1" t="s">
        <v>489</v>
      </c>
      <c r="P126" s="1" t="s">
        <v>490</v>
      </c>
      <c r="Q126" s="1">
        <v>4</v>
      </c>
      <c r="R126" s="1">
        <v>4</v>
      </c>
      <c r="S126" s="1">
        <v>1</v>
      </c>
    </row>
    <row r="127" spans="1:19" ht="14.25" hidden="1" customHeight="1" x14ac:dyDescent="0.2">
      <c r="A127" s="1" t="s">
        <v>323</v>
      </c>
      <c r="B127" s="1" t="s">
        <v>485</v>
      </c>
      <c r="C127" s="1">
        <v>11</v>
      </c>
      <c r="D127" s="6">
        <v>396655</v>
      </c>
      <c r="E127" s="1" t="s">
        <v>164</v>
      </c>
      <c r="F127" s="1" t="str">
        <f t="shared" si="1"/>
        <v>A01</v>
      </c>
      <c r="G127" s="1" t="s">
        <v>165</v>
      </c>
      <c r="H127" s="1" t="s">
        <v>486</v>
      </c>
      <c r="I127" s="1">
        <v>2024</v>
      </c>
      <c r="J127" s="1" t="s">
        <v>521</v>
      </c>
      <c r="K127" s="1" t="s">
        <v>491</v>
      </c>
      <c r="L127" s="1" t="s">
        <v>489</v>
      </c>
      <c r="P127" s="1" t="s">
        <v>490</v>
      </c>
      <c r="Q127" s="1">
        <v>5</v>
      </c>
      <c r="R127" s="1">
        <v>5</v>
      </c>
      <c r="S127" s="1">
        <v>2</v>
      </c>
    </row>
    <row r="128" spans="1:19" ht="14.25" hidden="1" customHeight="1" x14ac:dyDescent="0.2">
      <c r="A128" s="1" t="s">
        <v>323</v>
      </c>
      <c r="B128" s="1" t="s">
        <v>485</v>
      </c>
      <c r="C128" s="1">
        <v>11</v>
      </c>
      <c r="D128" s="6">
        <v>396655</v>
      </c>
      <c r="E128" s="1" t="s">
        <v>169</v>
      </c>
      <c r="F128" s="1" t="str">
        <f t="shared" si="1"/>
        <v>A03</v>
      </c>
      <c r="G128" s="1" t="s">
        <v>170</v>
      </c>
      <c r="H128" s="1" t="s">
        <v>486</v>
      </c>
      <c r="I128" s="1">
        <v>2024</v>
      </c>
      <c r="J128" s="1" t="s">
        <v>521</v>
      </c>
      <c r="P128" s="1" t="s">
        <v>490</v>
      </c>
      <c r="Q128" s="1">
        <v>0</v>
      </c>
      <c r="R128" s="1">
        <v>0</v>
      </c>
      <c r="S128" s="1">
        <v>1</v>
      </c>
    </row>
    <row r="129" spans="1:20" ht="14.25" hidden="1" customHeight="1" x14ac:dyDescent="0.2">
      <c r="A129" s="1" t="s">
        <v>323</v>
      </c>
      <c r="B129" s="1" t="s">
        <v>485</v>
      </c>
      <c r="C129" s="1">
        <v>11</v>
      </c>
      <c r="D129" s="6">
        <v>396655</v>
      </c>
      <c r="E129" s="1" t="s">
        <v>171</v>
      </c>
      <c r="F129" s="1" t="str">
        <f t="shared" si="1"/>
        <v>A04</v>
      </c>
      <c r="G129" s="1" t="s">
        <v>523</v>
      </c>
      <c r="H129" s="1" t="s">
        <v>486</v>
      </c>
      <c r="I129" s="1">
        <v>2024</v>
      </c>
      <c r="J129" s="1" t="s">
        <v>521</v>
      </c>
      <c r="P129" s="1" t="s">
        <v>490</v>
      </c>
      <c r="Q129" s="1">
        <v>0</v>
      </c>
      <c r="R129" s="1">
        <v>0</v>
      </c>
      <c r="S129" s="1">
        <v>3</v>
      </c>
    </row>
    <row r="130" spans="1:20" ht="14.25" hidden="1" customHeight="1" x14ac:dyDescent="0.2">
      <c r="A130" s="1" t="s">
        <v>323</v>
      </c>
      <c r="B130" s="1" t="s">
        <v>485</v>
      </c>
      <c r="C130" s="1">
        <v>11</v>
      </c>
      <c r="D130" s="6">
        <v>396655</v>
      </c>
      <c r="E130" s="1" t="s">
        <v>179</v>
      </c>
      <c r="F130" s="1" t="str">
        <f t="shared" si="1"/>
        <v>A07</v>
      </c>
      <c r="G130" s="1" t="s">
        <v>492</v>
      </c>
      <c r="H130" s="1" t="s">
        <v>486</v>
      </c>
      <c r="I130" s="1">
        <v>2024</v>
      </c>
      <c r="J130" s="1" t="s">
        <v>521</v>
      </c>
      <c r="P130" s="1" t="s">
        <v>490</v>
      </c>
      <c r="Q130" s="1">
        <v>0</v>
      </c>
      <c r="R130" s="1">
        <v>0</v>
      </c>
      <c r="S130" s="1">
        <v>3</v>
      </c>
    </row>
    <row r="131" spans="1:20" ht="14.25" hidden="1" customHeight="1" x14ac:dyDescent="0.2">
      <c r="A131" s="1" t="s">
        <v>323</v>
      </c>
      <c r="B131" s="1" t="s">
        <v>485</v>
      </c>
      <c r="C131" s="1">
        <v>11</v>
      </c>
      <c r="D131" s="6">
        <v>396655</v>
      </c>
      <c r="E131" s="1" t="s">
        <v>188</v>
      </c>
      <c r="F131" s="1" t="str">
        <f t="shared" ref="F131:F194" si="2">RIGHT(E131, LEN(E131) - 6)</f>
        <v>B01</v>
      </c>
      <c r="G131" s="1" t="s">
        <v>511</v>
      </c>
      <c r="H131" s="1" t="s">
        <v>486</v>
      </c>
      <c r="I131" s="1">
        <v>2024</v>
      </c>
      <c r="J131" s="1" t="s">
        <v>521</v>
      </c>
      <c r="M131" s="1" t="s">
        <v>533</v>
      </c>
      <c r="P131" s="1" t="s">
        <v>490</v>
      </c>
      <c r="Q131" s="1">
        <v>0</v>
      </c>
      <c r="R131" s="1">
        <v>0</v>
      </c>
      <c r="S131" s="1">
        <v>3</v>
      </c>
    </row>
    <row r="132" spans="1:20" ht="14.25" hidden="1" customHeight="1" x14ac:dyDescent="0.2">
      <c r="A132" s="1" t="s">
        <v>323</v>
      </c>
      <c r="B132" s="1" t="s">
        <v>485</v>
      </c>
      <c r="C132" s="1">
        <v>11</v>
      </c>
      <c r="D132" s="6">
        <v>396655</v>
      </c>
      <c r="E132" s="1" t="s">
        <v>190</v>
      </c>
      <c r="F132" s="1" t="str">
        <f t="shared" si="2"/>
        <v>B02</v>
      </c>
      <c r="G132" s="1" t="s">
        <v>498</v>
      </c>
      <c r="H132" s="1" t="s">
        <v>486</v>
      </c>
      <c r="I132" s="1">
        <v>2024</v>
      </c>
      <c r="J132" s="1" t="s">
        <v>521</v>
      </c>
      <c r="M132" s="1" t="s">
        <v>533</v>
      </c>
      <c r="P132" s="1" t="s">
        <v>490</v>
      </c>
      <c r="Q132" s="1">
        <v>0</v>
      </c>
      <c r="R132" s="1">
        <v>0</v>
      </c>
      <c r="S132" s="1">
        <v>3</v>
      </c>
    </row>
    <row r="133" spans="1:20" ht="14.25" hidden="1" customHeight="1" x14ac:dyDescent="0.2">
      <c r="A133" s="1" t="s">
        <v>323</v>
      </c>
      <c r="B133" s="1" t="s">
        <v>485</v>
      </c>
      <c r="C133" s="1">
        <v>11</v>
      </c>
      <c r="D133" s="6">
        <v>396655</v>
      </c>
      <c r="E133" s="1" t="s">
        <v>210</v>
      </c>
      <c r="F133" s="1" t="str">
        <f t="shared" si="2"/>
        <v>B11</v>
      </c>
      <c r="G133" s="1" t="s">
        <v>501</v>
      </c>
      <c r="H133" s="1" t="s">
        <v>486</v>
      </c>
      <c r="I133" s="1">
        <v>2024</v>
      </c>
      <c r="J133" s="1" t="s">
        <v>521</v>
      </c>
      <c r="M133" s="1" t="s">
        <v>533</v>
      </c>
      <c r="P133" s="1" t="s">
        <v>490</v>
      </c>
      <c r="Q133" s="1">
        <v>0</v>
      </c>
      <c r="R133" s="1">
        <v>0</v>
      </c>
      <c r="S133" s="1" t="s">
        <v>490</v>
      </c>
    </row>
    <row r="134" spans="1:20" ht="14.25" hidden="1" customHeight="1" x14ac:dyDescent="0.2">
      <c r="A134" s="1" t="s">
        <v>323</v>
      </c>
      <c r="B134" s="1" t="s">
        <v>485</v>
      </c>
      <c r="C134" s="1">
        <v>11</v>
      </c>
      <c r="D134" s="6">
        <v>396655</v>
      </c>
      <c r="E134" s="1" t="s">
        <v>230</v>
      </c>
      <c r="F134" s="1" t="str">
        <f t="shared" si="2"/>
        <v>C08</v>
      </c>
      <c r="G134" s="1" t="s">
        <v>503</v>
      </c>
      <c r="H134" s="1" t="s">
        <v>486</v>
      </c>
      <c r="I134" s="1">
        <v>2024</v>
      </c>
      <c r="J134" s="1" t="s">
        <v>521</v>
      </c>
      <c r="M134" s="1" t="s">
        <v>533</v>
      </c>
      <c r="N134" s="1" t="s">
        <v>534</v>
      </c>
      <c r="P134" s="1" t="s">
        <v>490</v>
      </c>
      <c r="Q134" s="1">
        <v>0</v>
      </c>
      <c r="R134" s="1">
        <v>0</v>
      </c>
      <c r="S134" s="1" t="s">
        <v>490</v>
      </c>
    </row>
    <row r="135" spans="1:20" ht="14.25" hidden="1" customHeight="1" x14ac:dyDescent="0.2">
      <c r="A135" s="1" t="s">
        <v>323</v>
      </c>
      <c r="B135" s="1" t="s">
        <v>485</v>
      </c>
      <c r="C135" s="1">
        <v>11</v>
      </c>
      <c r="D135" s="6">
        <v>396655</v>
      </c>
      <c r="E135" s="1" t="s">
        <v>232</v>
      </c>
      <c r="F135" s="1" t="str">
        <f t="shared" si="2"/>
        <v>C09</v>
      </c>
      <c r="G135" s="1" t="s">
        <v>537</v>
      </c>
      <c r="H135" s="1" t="s">
        <v>486</v>
      </c>
      <c r="I135" s="1">
        <v>2024</v>
      </c>
      <c r="J135" s="1" t="s">
        <v>521</v>
      </c>
      <c r="P135" s="1" t="s">
        <v>490</v>
      </c>
      <c r="Q135" s="1">
        <v>4</v>
      </c>
      <c r="R135" s="1">
        <v>4</v>
      </c>
      <c r="S135" s="1">
        <v>4</v>
      </c>
      <c r="T135" s="1" t="s">
        <v>556</v>
      </c>
    </row>
    <row r="136" spans="1:20" ht="14.25" hidden="1" customHeight="1" x14ac:dyDescent="0.2">
      <c r="A136" s="1" t="s">
        <v>323</v>
      </c>
      <c r="B136" s="1" t="s">
        <v>485</v>
      </c>
      <c r="C136" s="1">
        <v>11</v>
      </c>
      <c r="D136" s="6">
        <v>396655</v>
      </c>
      <c r="E136" s="1" t="s">
        <v>294</v>
      </c>
      <c r="F136" s="1" t="str">
        <f t="shared" si="2"/>
        <v>E03</v>
      </c>
      <c r="G136" s="1" t="s">
        <v>295</v>
      </c>
      <c r="H136" s="1" t="s">
        <v>486</v>
      </c>
      <c r="I136" s="1">
        <v>2024</v>
      </c>
      <c r="J136" s="1" t="s">
        <v>521</v>
      </c>
      <c r="M136" s="1" t="s">
        <v>533</v>
      </c>
      <c r="N136" s="1" t="s">
        <v>557</v>
      </c>
      <c r="P136" s="1" t="s">
        <v>490</v>
      </c>
      <c r="Q136" s="1">
        <v>0</v>
      </c>
      <c r="R136" s="1">
        <v>0</v>
      </c>
      <c r="S136" s="1">
        <v>3</v>
      </c>
    </row>
    <row r="137" spans="1:20" ht="14.25" hidden="1" customHeight="1" x14ac:dyDescent="0.2">
      <c r="A137" s="1" t="s">
        <v>324</v>
      </c>
      <c r="B137" s="1" t="s">
        <v>485</v>
      </c>
      <c r="C137" s="1">
        <v>11</v>
      </c>
      <c r="D137" s="6">
        <v>396989</v>
      </c>
      <c r="E137" s="1" t="s">
        <v>179</v>
      </c>
      <c r="F137" s="1" t="str">
        <f t="shared" si="2"/>
        <v>A07</v>
      </c>
      <c r="G137" s="1" t="s">
        <v>492</v>
      </c>
      <c r="H137" s="1" t="s">
        <v>486</v>
      </c>
      <c r="I137" s="1">
        <v>2024</v>
      </c>
      <c r="J137" s="1" t="s">
        <v>529</v>
      </c>
      <c r="P137" s="1" t="s">
        <v>490</v>
      </c>
      <c r="Q137" s="1">
        <v>1</v>
      </c>
      <c r="R137" s="1">
        <v>1</v>
      </c>
      <c r="S137" s="1">
        <v>2</v>
      </c>
    </row>
    <row r="138" spans="1:20" ht="14.25" hidden="1" customHeight="1" x14ac:dyDescent="0.2">
      <c r="A138" s="1" t="s">
        <v>324</v>
      </c>
      <c r="B138" s="1" t="s">
        <v>485</v>
      </c>
      <c r="C138" s="1">
        <v>11</v>
      </c>
      <c r="D138" s="6">
        <v>396989</v>
      </c>
      <c r="E138" s="1" t="s">
        <v>227</v>
      </c>
      <c r="F138" s="1" t="str">
        <f t="shared" si="2"/>
        <v>C07</v>
      </c>
      <c r="G138" s="1" t="s">
        <v>502</v>
      </c>
      <c r="H138" s="1" t="s">
        <v>486</v>
      </c>
      <c r="I138" s="1">
        <v>2024</v>
      </c>
      <c r="J138" s="1" t="s">
        <v>529</v>
      </c>
      <c r="P138" s="1" t="s">
        <v>490</v>
      </c>
      <c r="Q138" s="1">
        <v>0</v>
      </c>
      <c r="R138" s="1">
        <v>0</v>
      </c>
      <c r="S138" s="1">
        <v>1</v>
      </c>
    </row>
    <row r="139" spans="1:20" ht="14.25" hidden="1" customHeight="1" x14ac:dyDescent="0.2">
      <c r="A139" s="1" t="s">
        <v>324</v>
      </c>
      <c r="B139" s="1" t="s">
        <v>485</v>
      </c>
      <c r="C139" s="1">
        <v>11</v>
      </c>
      <c r="D139" s="6">
        <v>396989</v>
      </c>
      <c r="E139" s="1" t="s">
        <v>245</v>
      </c>
      <c r="F139" s="1" t="str">
        <f t="shared" si="2"/>
        <v>C15</v>
      </c>
      <c r="G139" s="1" t="s">
        <v>508</v>
      </c>
      <c r="H139" s="1" t="s">
        <v>486</v>
      </c>
      <c r="I139" s="1">
        <v>2024</v>
      </c>
      <c r="J139" s="1" t="s">
        <v>529</v>
      </c>
      <c r="P139" s="1" t="s">
        <v>490</v>
      </c>
      <c r="Q139" s="1">
        <v>7</v>
      </c>
      <c r="R139" s="1">
        <v>7</v>
      </c>
      <c r="S139" s="1">
        <v>30</v>
      </c>
    </row>
    <row r="140" spans="1:20" ht="14.25" hidden="1" customHeight="1" x14ac:dyDescent="0.2">
      <c r="A140" s="1" t="s">
        <v>324</v>
      </c>
      <c r="B140" s="1" t="s">
        <v>485</v>
      </c>
      <c r="C140" s="1">
        <v>11</v>
      </c>
      <c r="D140" s="6">
        <v>396989</v>
      </c>
      <c r="E140" s="1" t="s">
        <v>250</v>
      </c>
      <c r="F140" s="1" t="str">
        <f t="shared" si="2"/>
        <v>C17</v>
      </c>
      <c r="G140" s="1" t="s">
        <v>509</v>
      </c>
      <c r="H140" s="1" t="s">
        <v>486</v>
      </c>
      <c r="I140" s="1">
        <v>2024</v>
      </c>
      <c r="J140" s="1" t="s">
        <v>529</v>
      </c>
      <c r="P140" s="1" t="s">
        <v>490</v>
      </c>
      <c r="Q140" s="1">
        <v>0</v>
      </c>
      <c r="R140" s="1">
        <v>0</v>
      </c>
      <c r="S140" s="1">
        <v>2</v>
      </c>
    </row>
    <row r="141" spans="1:20" ht="14.25" hidden="1" customHeight="1" x14ac:dyDescent="0.2">
      <c r="A141" s="1" t="s">
        <v>324</v>
      </c>
      <c r="B141" s="1" t="s">
        <v>485</v>
      </c>
      <c r="C141" s="1">
        <v>11</v>
      </c>
      <c r="D141" s="6">
        <v>396989</v>
      </c>
      <c r="E141" s="1" t="s">
        <v>254</v>
      </c>
      <c r="F141" s="1" t="str">
        <f t="shared" si="2"/>
        <v>C19</v>
      </c>
      <c r="G141" s="1" t="s">
        <v>495</v>
      </c>
      <c r="H141" s="1" t="s">
        <v>486</v>
      </c>
      <c r="I141" s="1">
        <v>2024</v>
      </c>
      <c r="J141" s="1" t="s">
        <v>529</v>
      </c>
      <c r="P141" s="1" t="s">
        <v>490</v>
      </c>
      <c r="Q141" s="1">
        <v>0</v>
      </c>
      <c r="R141" s="1">
        <v>0</v>
      </c>
      <c r="S141" s="1">
        <v>4</v>
      </c>
    </row>
    <row r="142" spans="1:20" ht="14.25" hidden="1" customHeight="1" x14ac:dyDescent="0.2">
      <c r="A142" s="1" t="s">
        <v>325</v>
      </c>
      <c r="B142" s="1" t="s">
        <v>485</v>
      </c>
      <c r="C142" s="1">
        <v>11</v>
      </c>
      <c r="D142" s="6">
        <v>630031</v>
      </c>
      <c r="E142" s="1" t="s">
        <v>169</v>
      </c>
      <c r="F142" s="1" t="str">
        <f t="shared" si="2"/>
        <v>A03</v>
      </c>
      <c r="G142" s="1" t="s">
        <v>170</v>
      </c>
      <c r="H142" s="1" t="s">
        <v>486</v>
      </c>
      <c r="I142" s="1">
        <v>2024</v>
      </c>
      <c r="J142" s="1" t="s">
        <v>558</v>
      </c>
      <c r="P142" s="1" t="s">
        <v>490</v>
      </c>
      <c r="Q142" s="1">
        <v>0</v>
      </c>
      <c r="R142" s="1">
        <v>0</v>
      </c>
      <c r="S142" s="1">
        <v>1</v>
      </c>
    </row>
    <row r="143" spans="1:20" ht="14.25" hidden="1" customHeight="1" x14ac:dyDescent="0.2">
      <c r="A143" s="1" t="s">
        <v>325</v>
      </c>
      <c r="B143" s="1" t="s">
        <v>485</v>
      </c>
      <c r="C143" s="1">
        <v>11</v>
      </c>
      <c r="D143" s="6">
        <v>630031</v>
      </c>
      <c r="E143" s="1" t="s">
        <v>179</v>
      </c>
      <c r="F143" s="1" t="str">
        <f t="shared" si="2"/>
        <v>A07</v>
      </c>
      <c r="G143" s="1" t="s">
        <v>492</v>
      </c>
      <c r="H143" s="1" t="s">
        <v>486</v>
      </c>
      <c r="I143" s="1">
        <v>2024</v>
      </c>
      <c r="J143" s="1" t="s">
        <v>558</v>
      </c>
      <c r="P143" s="1" t="s">
        <v>490</v>
      </c>
      <c r="Q143" s="1">
        <v>0</v>
      </c>
      <c r="R143" s="1">
        <v>0</v>
      </c>
      <c r="S143" s="1">
        <v>1</v>
      </c>
    </row>
    <row r="144" spans="1:20" ht="14.25" hidden="1" customHeight="1" x14ac:dyDescent="0.2">
      <c r="A144" s="1" t="s">
        <v>325</v>
      </c>
      <c r="B144" s="1" t="s">
        <v>485</v>
      </c>
      <c r="C144" s="1">
        <v>11</v>
      </c>
      <c r="D144" s="6">
        <v>630031</v>
      </c>
      <c r="E144" s="1" t="s">
        <v>190</v>
      </c>
      <c r="F144" s="1" t="str">
        <f t="shared" si="2"/>
        <v>B02</v>
      </c>
      <c r="G144" s="1" t="s">
        <v>498</v>
      </c>
      <c r="H144" s="1" t="s">
        <v>486</v>
      </c>
      <c r="I144" s="1">
        <v>2024</v>
      </c>
      <c r="J144" s="1" t="s">
        <v>558</v>
      </c>
      <c r="P144" s="1" t="s">
        <v>490</v>
      </c>
      <c r="Q144" s="1">
        <v>0</v>
      </c>
      <c r="R144" s="1">
        <v>0</v>
      </c>
      <c r="S144" s="1">
        <v>1</v>
      </c>
    </row>
    <row r="145" spans="1:20" ht="14.25" hidden="1" customHeight="1" x14ac:dyDescent="0.2">
      <c r="A145" s="1" t="s">
        <v>325</v>
      </c>
      <c r="B145" s="1" t="s">
        <v>485</v>
      </c>
      <c r="C145" s="1">
        <v>11</v>
      </c>
      <c r="D145" s="6">
        <v>630031</v>
      </c>
      <c r="E145" s="1" t="s">
        <v>210</v>
      </c>
      <c r="F145" s="1" t="str">
        <f t="shared" si="2"/>
        <v>B11</v>
      </c>
      <c r="G145" s="1" t="s">
        <v>501</v>
      </c>
      <c r="H145" s="1" t="s">
        <v>486</v>
      </c>
      <c r="I145" s="1">
        <v>2024</v>
      </c>
      <c r="J145" s="1" t="s">
        <v>558</v>
      </c>
      <c r="P145" s="1" t="s">
        <v>490</v>
      </c>
      <c r="Q145" s="1">
        <v>0</v>
      </c>
      <c r="R145" s="1">
        <v>0</v>
      </c>
      <c r="S145" s="1">
        <v>68500</v>
      </c>
      <c r="T145" s="1" t="s">
        <v>559</v>
      </c>
    </row>
    <row r="146" spans="1:20" ht="14.25" hidden="1" customHeight="1" x14ac:dyDescent="0.2">
      <c r="A146" s="1" t="s">
        <v>325</v>
      </c>
      <c r="B146" s="1" t="s">
        <v>485</v>
      </c>
      <c r="C146" s="1">
        <v>11</v>
      </c>
      <c r="D146" s="6">
        <v>630031</v>
      </c>
      <c r="E146" s="1" t="s">
        <v>219</v>
      </c>
      <c r="F146" s="1" t="str">
        <f t="shared" si="2"/>
        <v>C03</v>
      </c>
      <c r="G146" s="1" t="s">
        <v>531</v>
      </c>
      <c r="H146" s="1" t="s">
        <v>486</v>
      </c>
      <c r="I146" s="1">
        <v>2024</v>
      </c>
      <c r="J146" s="1" t="s">
        <v>558</v>
      </c>
      <c r="P146" s="1" t="s">
        <v>490</v>
      </c>
      <c r="Q146" s="1">
        <v>0</v>
      </c>
      <c r="R146" s="1">
        <v>0</v>
      </c>
      <c r="S146" s="1">
        <v>1</v>
      </c>
    </row>
    <row r="147" spans="1:20" ht="14.25" hidden="1" customHeight="1" x14ac:dyDescent="0.2">
      <c r="A147" s="1" t="s">
        <v>325</v>
      </c>
      <c r="B147" s="1" t="s">
        <v>485</v>
      </c>
      <c r="C147" s="1">
        <v>11</v>
      </c>
      <c r="D147" s="6">
        <v>630031</v>
      </c>
      <c r="E147" s="1" t="s">
        <v>223</v>
      </c>
      <c r="F147" s="1" t="str">
        <f t="shared" si="2"/>
        <v>C05</v>
      </c>
      <c r="G147" s="1" t="s">
        <v>528</v>
      </c>
      <c r="H147" s="1" t="s">
        <v>486</v>
      </c>
      <c r="I147" s="1">
        <v>2024</v>
      </c>
      <c r="J147" s="1" t="s">
        <v>558</v>
      </c>
      <c r="P147" s="1" t="s">
        <v>490</v>
      </c>
      <c r="Q147" s="1">
        <v>0</v>
      </c>
      <c r="R147" s="1">
        <v>0</v>
      </c>
      <c r="S147" s="1">
        <v>1</v>
      </c>
    </row>
    <row r="148" spans="1:20" ht="14.25" hidden="1" customHeight="1" x14ac:dyDescent="0.2">
      <c r="A148" s="1" t="s">
        <v>325</v>
      </c>
      <c r="B148" s="1" t="s">
        <v>485</v>
      </c>
      <c r="C148" s="1">
        <v>11</v>
      </c>
      <c r="D148" s="6">
        <v>630031</v>
      </c>
      <c r="E148" s="1" t="s">
        <v>560</v>
      </c>
      <c r="F148" s="1" t="str">
        <f t="shared" si="2"/>
        <v>C06 </v>
      </c>
      <c r="G148" s="1" t="s">
        <v>561</v>
      </c>
      <c r="H148" s="1" t="s">
        <v>486</v>
      </c>
      <c r="I148" s="1">
        <v>2024</v>
      </c>
      <c r="J148" s="1" t="s">
        <v>558</v>
      </c>
      <c r="P148" s="1" t="s">
        <v>490</v>
      </c>
      <c r="Q148" s="1">
        <v>0</v>
      </c>
      <c r="R148" s="1">
        <v>0</v>
      </c>
      <c r="S148" s="1">
        <v>200</v>
      </c>
    </row>
    <row r="149" spans="1:20" ht="14.25" hidden="1" customHeight="1" x14ac:dyDescent="0.2">
      <c r="A149" s="1" t="s">
        <v>325</v>
      </c>
      <c r="B149" s="1" t="s">
        <v>485</v>
      </c>
      <c r="C149" s="1">
        <v>11</v>
      </c>
      <c r="D149" s="6">
        <v>630031</v>
      </c>
      <c r="E149" s="1" t="s">
        <v>227</v>
      </c>
      <c r="F149" s="1" t="str">
        <f t="shared" si="2"/>
        <v>C07</v>
      </c>
      <c r="G149" s="1" t="s">
        <v>502</v>
      </c>
      <c r="H149" s="1" t="s">
        <v>486</v>
      </c>
      <c r="I149" s="1">
        <v>2024</v>
      </c>
      <c r="J149" s="1" t="s">
        <v>558</v>
      </c>
      <c r="P149" s="1" t="s">
        <v>490</v>
      </c>
      <c r="Q149" s="1">
        <v>0</v>
      </c>
      <c r="R149" s="1">
        <v>0</v>
      </c>
      <c r="S149" s="1">
        <v>1</v>
      </c>
    </row>
    <row r="150" spans="1:20" ht="14.25" hidden="1" customHeight="1" x14ac:dyDescent="0.2">
      <c r="A150" s="1" t="s">
        <v>325</v>
      </c>
      <c r="B150" s="1" t="s">
        <v>485</v>
      </c>
      <c r="C150" s="1">
        <v>11</v>
      </c>
      <c r="D150" s="6">
        <v>630031</v>
      </c>
      <c r="E150" s="1" t="s">
        <v>245</v>
      </c>
      <c r="F150" s="1" t="str">
        <f t="shared" si="2"/>
        <v>C15</v>
      </c>
      <c r="G150" s="1" t="s">
        <v>508</v>
      </c>
      <c r="H150" s="1" t="s">
        <v>486</v>
      </c>
      <c r="I150" s="1">
        <v>2024</v>
      </c>
      <c r="J150" s="1" t="s">
        <v>558</v>
      </c>
      <c r="P150" s="1" t="s">
        <v>490</v>
      </c>
      <c r="Q150" s="1">
        <v>3</v>
      </c>
      <c r="R150" s="1">
        <v>3</v>
      </c>
      <c r="S150" s="1">
        <v>10</v>
      </c>
    </row>
    <row r="151" spans="1:20" ht="14.25" hidden="1" customHeight="1" x14ac:dyDescent="0.2">
      <c r="A151" s="1" t="s">
        <v>325</v>
      </c>
      <c r="B151" s="1" t="s">
        <v>485</v>
      </c>
      <c r="C151" s="1">
        <v>11</v>
      </c>
      <c r="D151" s="6">
        <v>630031</v>
      </c>
      <c r="E151" s="1" t="s">
        <v>250</v>
      </c>
      <c r="F151" s="1" t="str">
        <f t="shared" si="2"/>
        <v>C17</v>
      </c>
      <c r="G151" s="1" t="s">
        <v>509</v>
      </c>
      <c r="H151" s="1" t="s">
        <v>486</v>
      </c>
      <c r="I151" s="1">
        <v>2024</v>
      </c>
      <c r="J151" s="1" t="s">
        <v>558</v>
      </c>
      <c r="P151" s="1" t="s">
        <v>490</v>
      </c>
      <c r="Q151" s="1">
        <v>0</v>
      </c>
      <c r="R151" s="1">
        <v>0</v>
      </c>
      <c r="S151" s="1">
        <v>5</v>
      </c>
    </row>
    <row r="152" spans="1:20" ht="14.25" hidden="1" customHeight="1" x14ac:dyDescent="0.2">
      <c r="A152" s="1" t="s">
        <v>325</v>
      </c>
      <c r="B152" s="1" t="s">
        <v>485</v>
      </c>
      <c r="C152" s="1">
        <v>11</v>
      </c>
      <c r="D152" s="6">
        <v>630031</v>
      </c>
      <c r="E152" s="1" t="s">
        <v>252</v>
      </c>
      <c r="F152" s="1" t="str">
        <f t="shared" si="2"/>
        <v>C18</v>
      </c>
      <c r="G152" s="1" t="s">
        <v>510</v>
      </c>
      <c r="H152" s="1" t="s">
        <v>486</v>
      </c>
      <c r="I152" s="1">
        <v>2024</v>
      </c>
      <c r="J152" s="1" t="s">
        <v>558</v>
      </c>
      <c r="P152" s="1" t="s">
        <v>490</v>
      </c>
      <c r="Q152" s="1">
        <v>0</v>
      </c>
      <c r="R152" s="1">
        <v>0</v>
      </c>
      <c r="S152" s="1">
        <v>5</v>
      </c>
    </row>
    <row r="153" spans="1:20" ht="14.25" hidden="1" customHeight="1" x14ac:dyDescent="0.2">
      <c r="A153" s="1" t="s">
        <v>325</v>
      </c>
      <c r="B153" s="1" t="s">
        <v>485</v>
      </c>
      <c r="C153" s="1">
        <v>11</v>
      </c>
      <c r="D153" s="6">
        <v>630031</v>
      </c>
      <c r="E153" s="1" t="s">
        <v>254</v>
      </c>
      <c r="F153" s="1" t="str">
        <f t="shared" si="2"/>
        <v>C19</v>
      </c>
      <c r="G153" s="1" t="s">
        <v>495</v>
      </c>
      <c r="H153" s="1" t="s">
        <v>486</v>
      </c>
      <c r="I153" s="1">
        <v>2024</v>
      </c>
      <c r="J153" s="1" t="s">
        <v>558</v>
      </c>
      <c r="P153" s="1" t="s">
        <v>490</v>
      </c>
      <c r="Q153" s="1">
        <v>2</v>
      </c>
      <c r="R153" s="1">
        <v>2</v>
      </c>
      <c r="S153" s="1">
        <v>8</v>
      </c>
      <c r="T153" s="1" t="s">
        <v>562</v>
      </c>
    </row>
    <row r="154" spans="1:20" ht="14.25" customHeight="1" x14ac:dyDescent="0.2">
      <c r="A154" s="1" t="s">
        <v>325</v>
      </c>
      <c r="B154" s="1" t="s">
        <v>485</v>
      </c>
      <c r="C154" s="1">
        <v>11</v>
      </c>
      <c r="D154" s="6">
        <v>630031</v>
      </c>
      <c r="E154" s="1" t="s">
        <v>257</v>
      </c>
      <c r="F154" s="1" t="str">
        <f t="shared" si="2"/>
        <v>D01</v>
      </c>
      <c r="G154" s="1" t="s">
        <v>514</v>
      </c>
      <c r="H154" s="1" t="s">
        <v>486</v>
      </c>
      <c r="I154" s="1">
        <v>2024</v>
      </c>
      <c r="J154" s="1" t="s">
        <v>558</v>
      </c>
      <c r="P154" s="1" t="s">
        <v>490</v>
      </c>
      <c r="Q154" s="1">
        <v>0</v>
      </c>
      <c r="R154" s="1">
        <v>0</v>
      </c>
      <c r="T154" s="1" t="s">
        <v>563</v>
      </c>
    </row>
    <row r="155" spans="1:20" ht="14.25" hidden="1" customHeight="1" x14ac:dyDescent="0.2">
      <c r="A155" s="1" t="s">
        <v>326</v>
      </c>
      <c r="B155" s="1" t="s">
        <v>485</v>
      </c>
      <c r="C155" s="1">
        <v>11</v>
      </c>
      <c r="D155" s="6">
        <v>440264</v>
      </c>
      <c r="E155" s="1" t="s">
        <v>169</v>
      </c>
      <c r="F155" s="1" t="str">
        <f t="shared" si="2"/>
        <v>A03</v>
      </c>
      <c r="G155" s="1" t="s">
        <v>170</v>
      </c>
      <c r="H155" s="1" t="s">
        <v>486</v>
      </c>
      <c r="I155" s="1">
        <v>2024</v>
      </c>
      <c r="J155" s="1" t="s">
        <v>554</v>
      </c>
      <c r="P155" s="1" t="s">
        <v>490</v>
      </c>
      <c r="Q155" s="1">
        <v>0</v>
      </c>
      <c r="R155" s="1">
        <v>0</v>
      </c>
      <c r="S155" s="1">
        <v>5</v>
      </c>
    </row>
    <row r="156" spans="1:20" ht="14.25" hidden="1" customHeight="1" x14ac:dyDescent="0.2">
      <c r="A156" s="1" t="s">
        <v>326</v>
      </c>
      <c r="B156" s="1" t="s">
        <v>485</v>
      </c>
      <c r="C156" s="1">
        <v>11</v>
      </c>
      <c r="D156" s="6">
        <v>440264</v>
      </c>
      <c r="E156" s="1" t="s">
        <v>188</v>
      </c>
      <c r="F156" s="1" t="str">
        <f t="shared" si="2"/>
        <v>B01</v>
      </c>
      <c r="G156" s="1" t="s">
        <v>511</v>
      </c>
      <c r="H156" s="1" t="s">
        <v>486</v>
      </c>
      <c r="I156" s="1">
        <v>2024</v>
      </c>
      <c r="J156" s="1" t="s">
        <v>554</v>
      </c>
      <c r="P156" s="1" t="s">
        <v>490</v>
      </c>
      <c r="Q156" s="1">
        <v>0</v>
      </c>
      <c r="R156" s="1">
        <v>0</v>
      </c>
      <c r="S156" s="1">
        <v>2</v>
      </c>
    </row>
    <row r="157" spans="1:20" ht="14.25" hidden="1" customHeight="1" x14ac:dyDescent="0.2">
      <c r="A157" s="1" t="s">
        <v>326</v>
      </c>
      <c r="B157" s="1" t="s">
        <v>485</v>
      </c>
      <c r="C157" s="1">
        <v>11</v>
      </c>
      <c r="D157" s="6">
        <v>440264</v>
      </c>
      <c r="E157" s="1" t="s">
        <v>215</v>
      </c>
      <c r="F157" s="1" t="str">
        <f t="shared" si="2"/>
        <v>C01</v>
      </c>
      <c r="G157" s="1" t="s">
        <v>499</v>
      </c>
      <c r="H157" s="1" t="s">
        <v>486</v>
      </c>
      <c r="I157" s="1">
        <v>2024</v>
      </c>
      <c r="J157" s="1" t="s">
        <v>554</v>
      </c>
      <c r="P157" s="1" t="s">
        <v>490</v>
      </c>
      <c r="Q157" s="1">
        <v>0</v>
      </c>
      <c r="R157" s="1">
        <v>0</v>
      </c>
      <c r="S157" s="1">
        <v>2</v>
      </c>
    </row>
    <row r="158" spans="1:20" ht="14.25" hidden="1" customHeight="1" x14ac:dyDescent="0.2">
      <c r="A158" s="1" t="s">
        <v>326</v>
      </c>
      <c r="B158" s="1" t="s">
        <v>485</v>
      </c>
      <c r="C158" s="1">
        <v>11</v>
      </c>
      <c r="D158" s="6">
        <v>440264</v>
      </c>
      <c r="E158" s="1" t="s">
        <v>223</v>
      </c>
      <c r="F158" s="1" t="str">
        <f t="shared" si="2"/>
        <v>C05</v>
      </c>
      <c r="G158" s="1" t="s">
        <v>528</v>
      </c>
      <c r="H158" s="1" t="s">
        <v>486</v>
      </c>
      <c r="I158" s="1">
        <v>2024</v>
      </c>
      <c r="J158" s="1" t="s">
        <v>554</v>
      </c>
      <c r="P158" s="1" t="s">
        <v>490</v>
      </c>
      <c r="Q158" s="1">
        <v>0</v>
      </c>
      <c r="R158" s="1">
        <v>0</v>
      </c>
      <c r="S158" s="1">
        <v>2</v>
      </c>
    </row>
    <row r="159" spans="1:20" ht="14.25" hidden="1" customHeight="1" x14ac:dyDescent="0.2">
      <c r="A159" s="1" t="s">
        <v>326</v>
      </c>
      <c r="B159" s="1" t="s">
        <v>485</v>
      </c>
      <c r="C159" s="1">
        <v>11</v>
      </c>
      <c r="D159" s="6">
        <v>440264</v>
      </c>
      <c r="E159" s="1" t="s">
        <v>230</v>
      </c>
      <c r="F159" s="1" t="str">
        <f t="shared" si="2"/>
        <v>C08</v>
      </c>
      <c r="G159" s="1" t="s">
        <v>503</v>
      </c>
      <c r="H159" s="1" t="s">
        <v>486</v>
      </c>
      <c r="I159" s="1">
        <v>2024</v>
      </c>
      <c r="J159" s="1" t="s">
        <v>554</v>
      </c>
      <c r="M159" s="1" t="s">
        <v>515</v>
      </c>
      <c r="P159" s="1" t="s">
        <v>490</v>
      </c>
      <c r="Q159" s="1">
        <v>0</v>
      </c>
      <c r="R159" s="1">
        <v>0</v>
      </c>
      <c r="S159" s="1">
        <v>4</v>
      </c>
      <c r="T159" s="1" t="s">
        <v>564</v>
      </c>
    </row>
    <row r="160" spans="1:20" ht="14.25" hidden="1" customHeight="1" x14ac:dyDescent="0.2">
      <c r="A160" s="1" t="s">
        <v>326</v>
      </c>
      <c r="B160" s="1" t="s">
        <v>485</v>
      </c>
      <c r="C160" s="1">
        <v>11</v>
      </c>
      <c r="D160" s="6">
        <v>440264</v>
      </c>
      <c r="E160" s="1" t="s">
        <v>238</v>
      </c>
      <c r="F160" s="1" t="str">
        <f t="shared" si="2"/>
        <v>C12</v>
      </c>
      <c r="G160" s="1" t="s">
        <v>525</v>
      </c>
      <c r="H160" s="1" t="s">
        <v>486</v>
      </c>
      <c r="I160" s="1">
        <v>2024</v>
      </c>
      <c r="J160" s="1" t="s">
        <v>554</v>
      </c>
      <c r="P160" s="1" t="s">
        <v>490</v>
      </c>
      <c r="Q160" s="1">
        <v>0</v>
      </c>
      <c r="R160" s="1">
        <v>3</v>
      </c>
      <c r="S160" s="1">
        <v>10</v>
      </c>
    </row>
    <row r="161" spans="1:20" ht="14.25" hidden="1" customHeight="1" x14ac:dyDescent="0.2">
      <c r="A161" s="1" t="s">
        <v>326</v>
      </c>
      <c r="B161" s="1" t="s">
        <v>485</v>
      </c>
      <c r="C161" s="1">
        <v>11</v>
      </c>
      <c r="D161" s="6">
        <v>440264</v>
      </c>
      <c r="E161" s="1" t="s">
        <v>245</v>
      </c>
      <c r="F161" s="1" t="str">
        <f t="shared" si="2"/>
        <v>C15</v>
      </c>
      <c r="G161" s="1" t="s">
        <v>508</v>
      </c>
      <c r="H161" s="1" t="s">
        <v>486</v>
      </c>
      <c r="I161" s="1">
        <v>2024</v>
      </c>
      <c r="J161" s="1" t="s">
        <v>554</v>
      </c>
      <c r="P161" s="1" t="s">
        <v>490</v>
      </c>
      <c r="Q161" s="1">
        <v>0</v>
      </c>
      <c r="R161" s="1">
        <v>3</v>
      </c>
      <c r="S161" s="1">
        <v>10</v>
      </c>
    </row>
    <row r="162" spans="1:20" ht="14.25" hidden="1" customHeight="1" x14ac:dyDescent="0.2">
      <c r="A162" s="1" t="s">
        <v>326</v>
      </c>
      <c r="B162" s="1" t="s">
        <v>485</v>
      </c>
      <c r="C162" s="1">
        <v>11</v>
      </c>
      <c r="D162" s="6">
        <v>440264</v>
      </c>
      <c r="E162" s="1" t="s">
        <v>247</v>
      </c>
      <c r="F162" s="1" t="str">
        <f t="shared" si="2"/>
        <v>C16</v>
      </c>
      <c r="G162" s="1" t="s">
        <v>494</v>
      </c>
      <c r="H162" s="1" t="s">
        <v>486</v>
      </c>
      <c r="I162" s="1">
        <v>2024</v>
      </c>
      <c r="J162" s="1" t="s">
        <v>554</v>
      </c>
      <c r="P162" s="1" t="s">
        <v>490</v>
      </c>
      <c r="Q162" s="1">
        <v>0</v>
      </c>
      <c r="R162" s="1">
        <v>0</v>
      </c>
      <c r="S162" s="1">
        <v>5</v>
      </c>
    </row>
    <row r="163" spans="1:20" ht="14.25" hidden="1" customHeight="1" x14ac:dyDescent="0.2">
      <c r="A163" s="1" t="s">
        <v>326</v>
      </c>
      <c r="B163" s="1" t="s">
        <v>485</v>
      </c>
      <c r="C163" s="1">
        <v>11</v>
      </c>
      <c r="D163" s="6">
        <v>440264</v>
      </c>
      <c r="E163" s="1" t="s">
        <v>252</v>
      </c>
      <c r="F163" s="1" t="str">
        <f t="shared" si="2"/>
        <v>C18</v>
      </c>
      <c r="G163" s="1" t="s">
        <v>510</v>
      </c>
      <c r="H163" s="1" t="s">
        <v>486</v>
      </c>
      <c r="I163" s="1">
        <v>2024</v>
      </c>
      <c r="J163" s="1" t="s">
        <v>554</v>
      </c>
      <c r="P163" s="1" t="s">
        <v>490</v>
      </c>
      <c r="Q163" s="1">
        <v>0</v>
      </c>
      <c r="R163" s="1">
        <v>0</v>
      </c>
      <c r="S163" s="1">
        <v>3</v>
      </c>
    </row>
    <row r="164" spans="1:20" ht="14.25" hidden="1" customHeight="1" x14ac:dyDescent="0.2">
      <c r="A164" s="1" t="s">
        <v>326</v>
      </c>
      <c r="B164" s="1" t="s">
        <v>485</v>
      </c>
      <c r="C164" s="1">
        <v>11</v>
      </c>
      <c r="D164" s="6">
        <v>440264</v>
      </c>
      <c r="E164" s="1" t="s">
        <v>261</v>
      </c>
      <c r="F164" s="1" t="str">
        <f t="shared" si="2"/>
        <v>D03</v>
      </c>
      <c r="G164" s="1" t="s">
        <v>532</v>
      </c>
      <c r="H164" s="1" t="s">
        <v>486</v>
      </c>
      <c r="I164" s="1">
        <v>2024</v>
      </c>
      <c r="J164" s="1" t="s">
        <v>554</v>
      </c>
      <c r="M164" s="1" t="s">
        <v>515</v>
      </c>
      <c r="N164" s="1" t="s">
        <v>515</v>
      </c>
      <c r="P164" s="1" t="s">
        <v>490</v>
      </c>
      <c r="Q164" s="1">
        <v>0</v>
      </c>
      <c r="R164" s="1">
        <v>0</v>
      </c>
      <c r="S164" s="1">
        <v>6</v>
      </c>
      <c r="T164" s="1" t="s">
        <v>565</v>
      </c>
    </row>
    <row r="165" spans="1:20" ht="14.25" hidden="1" customHeight="1" x14ac:dyDescent="0.2">
      <c r="A165" s="1" t="s">
        <v>327</v>
      </c>
      <c r="B165" s="1" t="s">
        <v>485</v>
      </c>
      <c r="C165" s="1">
        <v>11</v>
      </c>
      <c r="D165" s="6">
        <v>241145</v>
      </c>
      <c r="E165" s="1" t="s">
        <v>190</v>
      </c>
      <c r="F165" s="1" t="str">
        <f t="shared" si="2"/>
        <v>B02</v>
      </c>
      <c r="G165" s="1" t="s">
        <v>498</v>
      </c>
      <c r="H165" s="1" t="s">
        <v>486</v>
      </c>
      <c r="I165" s="1">
        <v>2024</v>
      </c>
      <c r="J165" s="1" t="s">
        <v>554</v>
      </c>
      <c r="P165" s="1" t="s">
        <v>490</v>
      </c>
      <c r="Q165" s="1">
        <v>0</v>
      </c>
      <c r="R165" s="1">
        <v>0</v>
      </c>
      <c r="S165" s="1">
        <v>1</v>
      </c>
    </row>
    <row r="166" spans="1:20" ht="14.25" hidden="1" customHeight="1" x14ac:dyDescent="0.2">
      <c r="A166" s="1" t="s">
        <v>327</v>
      </c>
      <c r="B166" s="1" t="s">
        <v>485</v>
      </c>
      <c r="C166" s="1">
        <v>11</v>
      </c>
      <c r="D166" s="6">
        <v>241145</v>
      </c>
      <c r="E166" s="1" t="s">
        <v>252</v>
      </c>
      <c r="F166" s="1" t="str">
        <f t="shared" si="2"/>
        <v>C18</v>
      </c>
      <c r="G166" s="1" t="s">
        <v>510</v>
      </c>
      <c r="H166" s="1" t="s">
        <v>486</v>
      </c>
      <c r="I166" s="1">
        <v>2024</v>
      </c>
      <c r="J166" s="1" t="s">
        <v>554</v>
      </c>
      <c r="P166" s="1" t="s">
        <v>490</v>
      </c>
      <c r="Q166" s="1">
        <v>0</v>
      </c>
      <c r="R166" s="1">
        <v>0</v>
      </c>
      <c r="S166" s="1">
        <v>2</v>
      </c>
    </row>
    <row r="167" spans="1:20" ht="14.25" hidden="1" customHeight="1" x14ac:dyDescent="0.2">
      <c r="A167" s="1" t="s">
        <v>327</v>
      </c>
      <c r="B167" s="1" t="s">
        <v>485</v>
      </c>
      <c r="C167" s="1">
        <v>11</v>
      </c>
      <c r="D167" s="6">
        <v>241145</v>
      </c>
      <c r="E167" s="1" t="s">
        <v>254</v>
      </c>
      <c r="F167" s="1" t="str">
        <f t="shared" si="2"/>
        <v>C19</v>
      </c>
      <c r="G167" s="1" t="s">
        <v>495</v>
      </c>
      <c r="H167" s="1" t="s">
        <v>486</v>
      </c>
      <c r="I167" s="1">
        <v>2024</v>
      </c>
      <c r="J167" s="1" t="s">
        <v>554</v>
      </c>
      <c r="P167" s="1" t="s">
        <v>490</v>
      </c>
      <c r="Q167" s="1">
        <v>2</v>
      </c>
      <c r="R167" s="1">
        <v>2</v>
      </c>
      <c r="S167" s="1">
        <v>6</v>
      </c>
    </row>
    <row r="168" spans="1:20" ht="14.25" hidden="1" customHeight="1" x14ac:dyDescent="0.2">
      <c r="A168" s="1" t="s">
        <v>328</v>
      </c>
      <c r="B168" s="1" t="s">
        <v>485</v>
      </c>
      <c r="C168" s="1">
        <v>11</v>
      </c>
      <c r="D168" s="6">
        <v>336065</v>
      </c>
      <c r="E168" s="1" t="s">
        <v>164</v>
      </c>
      <c r="F168" s="1" t="str">
        <f t="shared" si="2"/>
        <v>A01</v>
      </c>
      <c r="G168" s="1" t="s">
        <v>165</v>
      </c>
      <c r="H168" s="1" t="s">
        <v>486</v>
      </c>
      <c r="I168" s="1">
        <v>2024</v>
      </c>
      <c r="J168" s="1" t="s">
        <v>517</v>
      </c>
      <c r="P168" s="1" t="s">
        <v>490</v>
      </c>
      <c r="Q168" s="1">
        <v>4</v>
      </c>
      <c r="R168" s="1">
        <v>4</v>
      </c>
      <c r="S168" s="1">
        <v>40</v>
      </c>
    </row>
    <row r="169" spans="1:20" ht="14.25" hidden="1" customHeight="1" x14ac:dyDescent="0.2">
      <c r="A169" s="1" t="s">
        <v>328</v>
      </c>
      <c r="B169" s="1" t="s">
        <v>485</v>
      </c>
      <c r="C169" s="1">
        <v>11</v>
      </c>
      <c r="D169" s="6">
        <v>336065</v>
      </c>
      <c r="E169" s="1" t="s">
        <v>263</v>
      </c>
      <c r="F169" s="1" t="str">
        <f t="shared" si="2"/>
        <v>D04</v>
      </c>
      <c r="G169" s="1" t="s">
        <v>520</v>
      </c>
      <c r="H169" s="1" t="s">
        <v>486</v>
      </c>
      <c r="I169" s="1">
        <v>2024</v>
      </c>
      <c r="J169" s="1" t="s">
        <v>517</v>
      </c>
      <c r="P169" s="1" t="s">
        <v>490</v>
      </c>
      <c r="Q169" s="1">
        <v>0</v>
      </c>
      <c r="R169" s="1">
        <v>0</v>
      </c>
      <c r="S169" s="1">
        <v>20</v>
      </c>
    </row>
    <row r="170" spans="1:20" ht="14.25" hidden="1" customHeight="1" x14ac:dyDescent="0.2">
      <c r="A170" s="1" t="s">
        <v>328</v>
      </c>
      <c r="B170" s="1" t="s">
        <v>485</v>
      </c>
      <c r="C170" s="1">
        <v>11</v>
      </c>
      <c r="D170" s="6">
        <v>336065</v>
      </c>
      <c r="E170" s="1" t="s">
        <v>277</v>
      </c>
      <c r="F170" s="1" t="str">
        <f t="shared" si="2"/>
        <v>D11</v>
      </c>
      <c r="G170" s="1" t="s">
        <v>566</v>
      </c>
      <c r="H170" s="1" t="s">
        <v>486</v>
      </c>
      <c r="I170" s="1">
        <v>2024</v>
      </c>
      <c r="J170" s="1" t="s">
        <v>517</v>
      </c>
      <c r="P170" s="1" t="s">
        <v>490</v>
      </c>
      <c r="Q170" s="1">
        <v>0</v>
      </c>
      <c r="R170" s="1">
        <v>0</v>
      </c>
      <c r="S170" s="1">
        <v>21</v>
      </c>
    </row>
    <row r="171" spans="1:20" ht="14.25" hidden="1" customHeight="1" x14ac:dyDescent="0.2">
      <c r="A171" s="1" t="s">
        <v>328</v>
      </c>
      <c r="B171" s="1" t="s">
        <v>485</v>
      </c>
      <c r="C171" s="1">
        <v>11</v>
      </c>
      <c r="D171" s="6">
        <v>336065</v>
      </c>
      <c r="E171" s="1" t="s">
        <v>279</v>
      </c>
      <c r="F171" s="1" t="str">
        <f t="shared" si="2"/>
        <v>D12</v>
      </c>
      <c r="G171" s="1" t="s">
        <v>567</v>
      </c>
      <c r="H171" s="1" t="s">
        <v>486</v>
      </c>
      <c r="I171" s="1">
        <v>2024</v>
      </c>
      <c r="J171" s="1" t="s">
        <v>517</v>
      </c>
      <c r="M171" s="1" t="s">
        <v>533</v>
      </c>
      <c r="N171" s="1" t="s">
        <v>568</v>
      </c>
      <c r="P171" s="1" t="s">
        <v>490</v>
      </c>
      <c r="Q171" s="1">
        <v>4</v>
      </c>
      <c r="R171" s="1">
        <v>4</v>
      </c>
      <c r="S171" s="1">
        <v>8</v>
      </c>
    </row>
    <row r="172" spans="1:20" ht="14.25" hidden="1" customHeight="1" x14ac:dyDescent="0.2">
      <c r="A172" s="1" t="s">
        <v>329</v>
      </c>
      <c r="B172" s="1" t="s">
        <v>485</v>
      </c>
      <c r="C172" s="1">
        <v>11</v>
      </c>
      <c r="D172" s="6">
        <v>532182</v>
      </c>
      <c r="E172" s="1" t="s">
        <v>164</v>
      </c>
      <c r="F172" s="1" t="str">
        <f t="shared" si="2"/>
        <v>A01</v>
      </c>
      <c r="G172" s="1" t="s">
        <v>165</v>
      </c>
      <c r="H172" s="1" t="s">
        <v>486</v>
      </c>
      <c r="I172" s="1">
        <v>2024</v>
      </c>
      <c r="J172" s="1" t="s">
        <v>569</v>
      </c>
      <c r="K172" s="1" t="s">
        <v>488</v>
      </c>
      <c r="P172" s="1" t="s">
        <v>490</v>
      </c>
      <c r="Q172" s="1">
        <v>2</v>
      </c>
      <c r="R172" s="1">
        <v>2</v>
      </c>
      <c r="S172" s="1">
        <v>4</v>
      </c>
      <c r="T172" s="1" t="s">
        <v>570</v>
      </c>
    </row>
    <row r="173" spans="1:20" ht="14.25" hidden="1" customHeight="1" x14ac:dyDescent="0.2">
      <c r="A173" s="1" t="s">
        <v>329</v>
      </c>
      <c r="B173" s="1" t="s">
        <v>485</v>
      </c>
      <c r="C173" s="1">
        <v>11</v>
      </c>
      <c r="D173" s="6">
        <v>532182</v>
      </c>
      <c r="E173" s="1" t="s">
        <v>164</v>
      </c>
      <c r="F173" s="1" t="str">
        <f t="shared" si="2"/>
        <v>A01</v>
      </c>
      <c r="G173" s="1" t="s">
        <v>165</v>
      </c>
      <c r="H173" s="1" t="s">
        <v>486</v>
      </c>
      <c r="I173" s="1">
        <v>2024</v>
      </c>
      <c r="J173" s="1" t="s">
        <v>569</v>
      </c>
      <c r="K173" s="1" t="s">
        <v>491</v>
      </c>
      <c r="P173" s="1" t="s">
        <v>490</v>
      </c>
      <c r="Q173" s="1">
        <v>5</v>
      </c>
      <c r="R173" s="1">
        <v>5</v>
      </c>
      <c r="S173" s="1">
        <v>4</v>
      </c>
      <c r="T173" s="1" t="s">
        <v>570</v>
      </c>
    </row>
    <row r="174" spans="1:20" ht="14.25" hidden="1" customHeight="1" x14ac:dyDescent="0.2">
      <c r="A174" s="1" t="s">
        <v>329</v>
      </c>
      <c r="B174" s="1" t="s">
        <v>485</v>
      </c>
      <c r="C174" s="1">
        <v>11</v>
      </c>
      <c r="D174" s="6">
        <v>532182</v>
      </c>
      <c r="E174" s="1" t="s">
        <v>169</v>
      </c>
      <c r="F174" s="1" t="str">
        <f t="shared" si="2"/>
        <v>A03</v>
      </c>
      <c r="G174" s="1" t="s">
        <v>170</v>
      </c>
      <c r="H174" s="1" t="s">
        <v>486</v>
      </c>
      <c r="I174" s="1">
        <v>2024</v>
      </c>
      <c r="J174" s="1" t="s">
        <v>569</v>
      </c>
      <c r="P174" s="1" t="s">
        <v>490</v>
      </c>
      <c r="Q174" s="1">
        <v>1</v>
      </c>
      <c r="R174" s="1">
        <v>1</v>
      </c>
      <c r="S174" s="1">
        <v>1</v>
      </c>
    </row>
    <row r="175" spans="1:20" ht="14.25" hidden="1" customHeight="1" x14ac:dyDescent="0.2">
      <c r="A175" s="1" t="s">
        <v>329</v>
      </c>
      <c r="B175" s="1" t="s">
        <v>485</v>
      </c>
      <c r="C175" s="1">
        <v>11</v>
      </c>
      <c r="D175" s="6">
        <v>532182</v>
      </c>
      <c r="E175" s="1" t="s">
        <v>190</v>
      </c>
      <c r="F175" s="1" t="str">
        <f t="shared" si="2"/>
        <v>B02</v>
      </c>
      <c r="G175" s="1" t="s">
        <v>498</v>
      </c>
      <c r="H175" s="1" t="s">
        <v>486</v>
      </c>
      <c r="I175" s="1">
        <v>2024</v>
      </c>
      <c r="J175" s="1" t="s">
        <v>569</v>
      </c>
      <c r="M175" s="1" t="s">
        <v>533</v>
      </c>
      <c r="N175" s="1" t="s">
        <v>557</v>
      </c>
      <c r="P175" s="1" t="s">
        <v>490</v>
      </c>
      <c r="Q175" s="1">
        <v>0</v>
      </c>
      <c r="R175" s="1">
        <v>0</v>
      </c>
      <c r="S175" s="1">
        <v>1</v>
      </c>
    </row>
    <row r="176" spans="1:20" ht="14.25" hidden="1" customHeight="1" x14ac:dyDescent="0.2">
      <c r="A176" s="1" t="s">
        <v>329</v>
      </c>
      <c r="B176" s="1" t="s">
        <v>485</v>
      </c>
      <c r="C176" s="1">
        <v>11</v>
      </c>
      <c r="D176" s="6">
        <v>532182</v>
      </c>
      <c r="E176" s="1" t="s">
        <v>197</v>
      </c>
      <c r="F176" s="1" t="str">
        <f t="shared" si="2"/>
        <v>B05</v>
      </c>
      <c r="G176" s="1" t="s">
        <v>198</v>
      </c>
      <c r="H176" s="1" t="s">
        <v>486</v>
      </c>
      <c r="I176" s="1">
        <v>2024</v>
      </c>
      <c r="J176" s="1" t="s">
        <v>569</v>
      </c>
      <c r="K176" s="1" t="s">
        <v>488</v>
      </c>
      <c r="P176" s="1" t="s">
        <v>490</v>
      </c>
      <c r="Q176" s="1">
        <v>0</v>
      </c>
      <c r="R176" s="1">
        <v>0</v>
      </c>
      <c r="S176" s="1">
        <v>5</v>
      </c>
    </row>
    <row r="177" spans="1:20" ht="14.25" hidden="1" customHeight="1" x14ac:dyDescent="0.2">
      <c r="A177" s="1" t="s">
        <v>329</v>
      </c>
      <c r="B177" s="1" t="s">
        <v>485</v>
      </c>
      <c r="C177" s="1">
        <v>11</v>
      </c>
      <c r="D177" s="6">
        <v>532182</v>
      </c>
      <c r="E177" s="1" t="s">
        <v>197</v>
      </c>
      <c r="F177" s="1" t="str">
        <f t="shared" si="2"/>
        <v>B05</v>
      </c>
      <c r="G177" s="1" t="s">
        <v>198</v>
      </c>
      <c r="H177" s="1" t="s">
        <v>486</v>
      </c>
      <c r="I177" s="1">
        <v>2024</v>
      </c>
      <c r="J177" s="1" t="s">
        <v>569</v>
      </c>
      <c r="K177" s="1" t="s">
        <v>491</v>
      </c>
      <c r="L177" s="1" t="s">
        <v>489</v>
      </c>
      <c r="P177" s="1" t="s">
        <v>490</v>
      </c>
      <c r="Q177" s="1">
        <v>0</v>
      </c>
      <c r="R177" s="1">
        <v>0</v>
      </c>
      <c r="S177" s="1">
        <v>5</v>
      </c>
    </row>
    <row r="178" spans="1:20" ht="14.25" hidden="1" customHeight="1" x14ac:dyDescent="0.2">
      <c r="A178" s="1" t="s">
        <v>329</v>
      </c>
      <c r="B178" s="1" t="s">
        <v>485</v>
      </c>
      <c r="C178" s="1">
        <v>11</v>
      </c>
      <c r="D178" s="6">
        <v>532182</v>
      </c>
      <c r="E178" s="1" t="s">
        <v>279</v>
      </c>
      <c r="F178" s="1" t="str">
        <f t="shared" si="2"/>
        <v>D12</v>
      </c>
      <c r="G178" s="1" t="s">
        <v>567</v>
      </c>
      <c r="H178" s="1" t="s">
        <v>486</v>
      </c>
      <c r="I178" s="1">
        <v>2024</v>
      </c>
      <c r="J178" s="1" t="s">
        <v>569</v>
      </c>
      <c r="P178" s="1" t="s">
        <v>490</v>
      </c>
      <c r="Q178" s="1">
        <v>0</v>
      </c>
      <c r="R178" s="1">
        <v>0</v>
      </c>
      <c r="S178" s="1" t="s">
        <v>490</v>
      </c>
      <c r="T178" s="1" t="s">
        <v>571</v>
      </c>
    </row>
    <row r="179" spans="1:20" ht="14.25" hidden="1" customHeight="1" x14ac:dyDescent="0.2">
      <c r="A179" s="1" t="s">
        <v>330</v>
      </c>
      <c r="B179" s="1" t="s">
        <v>485</v>
      </c>
      <c r="C179" s="1">
        <v>11</v>
      </c>
      <c r="D179" s="6">
        <v>485986</v>
      </c>
      <c r="E179" s="1" t="s">
        <v>164</v>
      </c>
      <c r="F179" s="1" t="str">
        <f t="shared" si="2"/>
        <v>A01</v>
      </c>
      <c r="G179" s="1" t="s">
        <v>165</v>
      </c>
      <c r="H179" s="1" t="s">
        <v>486</v>
      </c>
      <c r="I179" s="1">
        <v>2024</v>
      </c>
      <c r="J179" s="1" t="s">
        <v>572</v>
      </c>
      <c r="P179" s="1" t="s">
        <v>490</v>
      </c>
      <c r="Q179" s="1">
        <v>0</v>
      </c>
      <c r="R179" s="1">
        <v>0</v>
      </c>
      <c r="S179" s="1">
        <v>15</v>
      </c>
    </row>
    <row r="180" spans="1:20" ht="14.25" hidden="1" customHeight="1" x14ac:dyDescent="0.2">
      <c r="A180" s="1" t="s">
        <v>330</v>
      </c>
      <c r="B180" s="1" t="s">
        <v>485</v>
      </c>
      <c r="C180" s="1">
        <v>11</v>
      </c>
      <c r="D180" s="6">
        <v>485986</v>
      </c>
      <c r="E180" s="1" t="s">
        <v>167</v>
      </c>
      <c r="F180" s="1" t="str">
        <f t="shared" si="2"/>
        <v>A02</v>
      </c>
      <c r="G180" s="1" t="s">
        <v>543</v>
      </c>
      <c r="H180" s="1" t="s">
        <v>486</v>
      </c>
      <c r="I180" s="1">
        <v>2024</v>
      </c>
      <c r="J180" s="1" t="s">
        <v>572</v>
      </c>
      <c r="K180" s="1" t="s">
        <v>488</v>
      </c>
      <c r="L180" s="1" t="s">
        <v>489</v>
      </c>
      <c r="P180" s="1" t="s">
        <v>490</v>
      </c>
      <c r="Q180" s="1">
        <v>1</v>
      </c>
      <c r="R180" s="1">
        <v>1</v>
      </c>
      <c r="S180" s="1">
        <v>8</v>
      </c>
    </row>
    <row r="181" spans="1:20" ht="14.25" hidden="1" customHeight="1" x14ac:dyDescent="0.2">
      <c r="A181" s="1" t="s">
        <v>330</v>
      </c>
      <c r="B181" s="1" t="s">
        <v>485</v>
      </c>
      <c r="C181" s="1">
        <v>11</v>
      </c>
      <c r="D181" s="6">
        <v>485986</v>
      </c>
      <c r="E181" s="1" t="s">
        <v>169</v>
      </c>
      <c r="F181" s="1" t="str">
        <f t="shared" si="2"/>
        <v>A03</v>
      </c>
      <c r="G181" s="1" t="s">
        <v>170</v>
      </c>
      <c r="H181" s="1" t="s">
        <v>486</v>
      </c>
      <c r="I181" s="1">
        <v>2024</v>
      </c>
      <c r="J181" s="1" t="s">
        <v>572</v>
      </c>
      <c r="P181" s="1" t="s">
        <v>490</v>
      </c>
      <c r="Q181" s="1">
        <v>1</v>
      </c>
      <c r="R181" s="1">
        <v>1</v>
      </c>
      <c r="S181" s="1">
        <v>3</v>
      </c>
    </row>
    <row r="182" spans="1:20" ht="14.25" hidden="1" customHeight="1" x14ac:dyDescent="0.2">
      <c r="A182" s="1" t="s">
        <v>330</v>
      </c>
      <c r="B182" s="1" t="s">
        <v>485</v>
      </c>
      <c r="C182" s="1">
        <v>11</v>
      </c>
      <c r="D182" s="6">
        <v>485986</v>
      </c>
      <c r="E182" s="1" t="s">
        <v>179</v>
      </c>
      <c r="F182" s="1" t="str">
        <f t="shared" si="2"/>
        <v>A07</v>
      </c>
      <c r="G182" s="1" t="s">
        <v>492</v>
      </c>
      <c r="H182" s="1" t="s">
        <v>486</v>
      </c>
      <c r="I182" s="1">
        <v>2024</v>
      </c>
      <c r="J182" s="1" t="s">
        <v>572</v>
      </c>
      <c r="P182" s="1" t="s">
        <v>490</v>
      </c>
      <c r="Q182" s="1">
        <v>2</v>
      </c>
      <c r="R182" s="1">
        <v>2</v>
      </c>
      <c r="S182" s="1">
        <v>2</v>
      </c>
    </row>
    <row r="183" spans="1:20" ht="14.25" hidden="1" customHeight="1" x14ac:dyDescent="0.2">
      <c r="A183" s="1" t="s">
        <v>330</v>
      </c>
      <c r="B183" s="1" t="s">
        <v>485</v>
      </c>
      <c r="C183" s="1">
        <v>11</v>
      </c>
      <c r="D183" s="6">
        <v>485986</v>
      </c>
      <c r="E183" s="1" t="s">
        <v>197</v>
      </c>
      <c r="F183" s="1" t="str">
        <f t="shared" si="2"/>
        <v>B05</v>
      </c>
      <c r="G183" s="1" t="s">
        <v>198</v>
      </c>
      <c r="H183" s="1" t="s">
        <v>486</v>
      </c>
      <c r="I183" s="1">
        <v>2024</v>
      </c>
      <c r="J183" s="1" t="s">
        <v>572</v>
      </c>
      <c r="K183" s="1" t="s">
        <v>488</v>
      </c>
      <c r="L183" s="1" t="s">
        <v>489</v>
      </c>
      <c r="P183" s="1" t="s">
        <v>490</v>
      </c>
      <c r="Q183" s="1">
        <v>55</v>
      </c>
      <c r="R183" s="1">
        <v>55</v>
      </c>
      <c r="S183" s="1">
        <v>50</v>
      </c>
      <c r="T183" s="1" t="s">
        <v>570</v>
      </c>
    </row>
    <row r="184" spans="1:20" ht="14.25" hidden="1" customHeight="1" x14ac:dyDescent="0.2">
      <c r="A184" s="1" t="s">
        <v>330</v>
      </c>
      <c r="B184" s="1" t="s">
        <v>485</v>
      </c>
      <c r="C184" s="1">
        <v>11</v>
      </c>
      <c r="D184" s="6">
        <v>485986</v>
      </c>
      <c r="E184" s="1" t="s">
        <v>197</v>
      </c>
      <c r="F184" s="1" t="str">
        <f t="shared" si="2"/>
        <v>B05</v>
      </c>
      <c r="G184" s="1" t="s">
        <v>198</v>
      </c>
      <c r="H184" s="1" t="s">
        <v>486</v>
      </c>
      <c r="I184" s="1">
        <v>2024</v>
      </c>
      <c r="J184" s="1" t="s">
        <v>572</v>
      </c>
      <c r="K184" s="1" t="s">
        <v>491</v>
      </c>
      <c r="L184" s="1" t="s">
        <v>489</v>
      </c>
      <c r="P184" s="1" t="s">
        <v>490</v>
      </c>
      <c r="Q184" s="1">
        <v>14</v>
      </c>
      <c r="R184" s="1">
        <v>14</v>
      </c>
      <c r="S184" s="1">
        <v>50</v>
      </c>
      <c r="T184" s="1" t="s">
        <v>570</v>
      </c>
    </row>
    <row r="185" spans="1:20" ht="14.25" hidden="1" customHeight="1" x14ac:dyDescent="0.2">
      <c r="A185" s="1" t="s">
        <v>330</v>
      </c>
      <c r="B185" s="1" t="s">
        <v>485</v>
      </c>
      <c r="C185" s="1">
        <v>11</v>
      </c>
      <c r="D185" s="6">
        <v>485986</v>
      </c>
      <c r="E185" s="1" t="s">
        <v>223</v>
      </c>
      <c r="F185" s="1" t="str">
        <f t="shared" si="2"/>
        <v>C05</v>
      </c>
      <c r="G185" s="1" t="s">
        <v>528</v>
      </c>
      <c r="H185" s="1" t="s">
        <v>486</v>
      </c>
      <c r="I185" s="1">
        <v>2024</v>
      </c>
      <c r="J185" s="1" t="s">
        <v>572</v>
      </c>
      <c r="P185" s="1" t="s">
        <v>490</v>
      </c>
      <c r="Q185" s="1">
        <v>0</v>
      </c>
      <c r="R185" s="1">
        <v>0</v>
      </c>
      <c r="S185" s="1">
        <v>1</v>
      </c>
    </row>
    <row r="186" spans="1:20" ht="14.25" hidden="1" customHeight="1" x14ac:dyDescent="0.2">
      <c r="A186" s="1" t="s">
        <v>330</v>
      </c>
      <c r="B186" s="1" t="s">
        <v>485</v>
      </c>
      <c r="C186" s="1">
        <v>11</v>
      </c>
      <c r="D186" s="6">
        <v>485986</v>
      </c>
      <c r="E186" s="1" t="s">
        <v>238</v>
      </c>
      <c r="F186" s="1" t="str">
        <f t="shared" si="2"/>
        <v>C12</v>
      </c>
      <c r="G186" s="1" t="s">
        <v>525</v>
      </c>
      <c r="H186" s="1" t="s">
        <v>486</v>
      </c>
      <c r="I186" s="1">
        <v>2024</v>
      </c>
      <c r="J186" s="1" t="s">
        <v>572</v>
      </c>
      <c r="P186" s="1" t="s">
        <v>490</v>
      </c>
      <c r="Q186" s="1">
        <v>0</v>
      </c>
      <c r="R186" s="1">
        <v>0</v>
      </c>
      <c r="S186" s="1">
        <v>50</v>
      </c>
    </row>
    <row r="187" spans="1:20" ht="14.25" hidden="1" customHeight="1" x14ac:dyDescent="0.2">
      <c r="A187" s="1" t="s">
        <v>330</v>
      </c>
      <c r="B187" s="1" t="s">
        <v>485</v>
      </c>
      <c r="C187" s="1">
        <v>11</v>
      </c>
      <c r="D187" s="6">
        <v>485986</v>
      </c>
      <c r="E187" s="1" t="s">
        <v>240</v>
      </c>
      <c r="F187" s="1" t="str">
        <f t="shared" si="2"/>
        <v>C13</v>
      </c>
      <c r="G187" s="1" t="s">
        <v>539</v>
      </c>
      <c r="H187" s="1" t="s">
        <v>486</v>
      </c>
      <c r="I187" s="1">
        <v>2024</v>
      </c>
      <c r="J187" s="1" t="s">
        <v>572</v>
      </c>
      <c r="P187" s="1" t="s">
        <v>490</v>
      </c>
      <c r="Q187" s="1">
        <v>5</v>
      </c>
      <c r="R187" s="1">
        <v>5</v>
      </c>
      <c r="S187" s="1">
        <v>10</v>
      </c>
      <c r="T187" s="1" t="s">
        <v>573</v>
      </c>
    </row>
    <row r="188" spans="1:20" ht="14.25" hidden="1" customHeight="1" x14ac:dyDescent="0.2">
      <c r="A188" s="1" t="s">
        <v>330</v>
      </c>
      <c r="B188" s="1" t="s">
        <v>485</v>
      </c>
      <c r="C188" s="1">
        <v>11</v>
      </c>
      <c r="D188" s="6">
        <v>485986</v>
      </c>
      <c r="E188" s="1" t="s">
        <v>259</v>
      </c>
      <c r="F188" s="1" t="str">
        <f t="shared" si="2"/>
        <v>D02</v>
      </c>
      <c r="G188" s="1" t="s">
        <v>547</v>
      </c>
      <c r="H188" s="1" t="s">
        <v>486</v>
      </c>
      <c r="I188" s="1">
        <v>2024</v>
      </c>
      <c r="J188" s="1" t="s">
        <v>572</v>
      </c>
      <c r="P188" s="1" t="s">
        <v>490</v>
      </c>
      <c r="Q188" s="1">
        <v>0</v>
      </c>
      <c r="R188" s="1" t="s">
        <v>490</v>
      </c>
      <c r="S188" s="1" t="s">
        <v>490</v>
      </c>
      <c r="T188" s="1" t="s">
        <v>574</v>
      </c>
    </row>
    <row r="189" spans="1:20" ht="14.25" hidden="1" customHeight="1" x14ac:dyDescent="0.2">
      <c r="A189" s="1" t="s">
        <v>330</v>
      </c>
      <c r="B189" s="1" t="s">
        <v>485</v>
      </c>
      <c r="C189" s="1">
        <v>11</v>
      </c>
      <c r="D189" s="6">
        <v>485986</v>
      </c>
      <c r="E189" s="1" t="s">
        <v>287</v>
      </c>
      <c r="F189" s="1" t="str">
        <f t="shared" si="2"/>
        <v>D18</v>
      </c>
      <c r="G189" s="1" t="s">
        <v>575</v>
      </c>
      <c r="H189" s="1" t="s">
        <v>486</v>
      </c>
      <c r="I189" s="1">
        <v>2024</v>
      </c>
      <c r="J189" s="1" t="s">
        <v>572</v>
      </c>
      <c r="P189" s="1" t="s">
        <v>490</v>
      </c>
      <c r="Q189" s="1">
        <v>0</v>
      </c>
      <c r="R189" s="1">
        <v>0</v>
      </c>
      <c r="S189" s="1">
        <v>5</v>
      </c>
    </row>
    <row r="190" spans="1:20" ht="14.25" hidden="1" customHeight="1" x14ac:dyDescent="0.2">
      <c r="A190" s="1" t="s">
        <v>331</v>
      </c>
      <c r="B190" s="1" t="s">
        <v>485</v>
      </c>
      <c r="C190" s="1">
        <v>11</v>
      </c>
      <c r="D190" s="6">
        <v>273579</v>
      </c>
      <c r="E190" s="1" t="s">
        <v>169</v>
      </c>
      <c r="F190" s="1" t="str">
        <f t="shared" si="2"/>
        <v>A03</v>
      </c>
      <c r="G190" s="1" t="s">
        <v>170</v>
      </c>
      <c r="H190" s="1" t="s">
        <v>486</v>
      </c>
      <c r="I190" s="1">
        <v>2024</v>
      </c>
      <c r="J190" s="1" t="s">
        <v>519</v>
      </c>
      <c r="P190" s="1" t="s">
        <v>490</v>
      </c>
      <c r="Q190" s="1">
        <v>2</v>
      </c>
      <c r="R190" s="1">
        <v>2</v>
      </c>
      <c r="S190" s="1">
        <v>2</v>
      </c>
    </row>
    <row r="191" spans="1:20" ht="14.25" hidden="1" customHeight="1" x14ac:dyDescent="0.2">
      <c r="A191" s="1" t="s">
        <v>331</v>
      </c>
      <c r="B191" s="1" t="s">
        <v>485</v>
      </c>
      <c r="C191" s="1">
        <v>11</v>
      </c>
      <c r="D191" s="6">
        <v>273579</v>
      </c>
      <c r="E191" s="1" t="s">
        <v>179</v>
      </c>
      <c r="F191" s="1" t="str">
        <f t="shared" si="2"/>
        <v>A07</v>
      </c>
      <c r="G191" s="1" t="s">
        <v>492</v>
      </c>
      <c r="H191" s="1" t="s">
        <v>486</v>
      </c>
      <c r="I191" s="1">
        <v>2024</v>
      </c>
      <c r="J191" s="1" t="s">
        <v>519</v>
      </c>
      <c r="P191" s="1" t="s">
        <v>490</v>
      </c>
      <c r="Q191" s="1">
        <v>0</v>
      </c>
      <c r="R191" s="1">
        <v>0</v>
      </c>
      <c r="S191" s="1">
        <v>1</v>
      </c>
    </row>
    <row r="192" spans="1:20" ht="14.25" hidden="1" customHeight="1" x14ac:dyDescent="0.2">
      <c r="A192" s="1" t="s">
        <v>331</v>
      </c>
      <c r="B192" s="1" t="s">
        <v>485</v>
      </c>
      <c r="C192" s="1">
        <v>11</v>
      </c>
      <c r="D192" s="6">
        <v>273579</v>
      </c>
      <c r="E192" s="1" t="s">
        <v>171</v>
      </c>
      <c r="F192" s="1" t="str">
        <f t="shared" si="2"/>
        <v>A04</v>
      </c>
      <c r="G192" s="1" t="s">
        <v>576</v>
      </c>
      <c r="H192" s="1" t="s">
        <v>486</v>
      </c>
      <c r="I192" s="1">
        <v>2024</v>
      </c>
      <c r="J192" s="1" t="s">
        <v>519</v>
      </c>
      <c r="K192" s="1" t="s">
        <v>488</v>
      </c>
      <c r="P192" s="1" t="s">
        <v>490</v>
      </c>
      <c r="Q192" s="1">
        <v>11</v>
      </c>
      <c r="R192" s="1">
        <v>2</v>
      </c>
      <c r="S192" s="1">
        <v>2</v>
      </c>
      <c r="T192" s="1" t="s">
        <v>577</v>
      </c>
    </row>
    <row r="193" spans="1:20" ht="14.25" hidden="1" customHeight="1" x14ac:dyDescent="0.2">
      <c r="A193" s="1" t="s">
        <v>331</v>
      </c>
      <c r="B193" s="1" t="s">
        <v>485</v>
      </c>
      <c r="C193" s="1">
        <v>11</v>
      </c>
      <c r="D193" s="6">
        <v>273579</v>
      </c>
      <c r="E193" s="1" t="s">
        <v>210</v>
      </c>
      <c r="F193" s="1" t="str">
        <f t="shared" si="2"/>
        <v>B11</v>
      </c>
      <c r="G193" s="1" t="s">
        <v>501</v>
      </c>
      <c r="H193" s="1" t="s">
        <v>486</v>
      </c>
      <c r="I193" s="1">
        <v>2024</v>
      </c>
      <c r="J193" s="1" t="s">
        <v>519</v>
      </c>
      <c r="P193" s="1" t="s">
        <v>490</v>
      </c>
      <c r="Q193" s="1">
        <v>0</v>
      </c>
      <c r="R193" s="1" t="s">
        <v>490</v>
      </c>
      <c r="S193" s="1" t="s">
        <v>490</v>
      </c>
    </row>
    <row r="194" spans="1:20" ht="14.25" hidden="1" customHeight="1" x14ac:dyDescent="0.2">
      <c r="A194" s="1" t="s">
        <v>331</v>
      </c>
      <c r="B194" s="1" t="s">
        <v>485</v>
      </c>
      <c r="C194" s="1">
        <v>11</v>
      </c>
      <c r="D194" s="6">
        <v>273579</v>
      </c>
      <c r="E194" s="1" t="s">
        <v>223</v>
      </c>
      <c r="F194" s="1" t="str">
        <f t="shared" si="2"/>
        <v>C05</v>
      </c>
      <c r="G194" s="1" t="s">
        <v>528</v>
      </c>
      <c r="H194" s="1" t="s">
        <v>486</v>
      </c>
      <c r="I194" s="1">
        <v>2024</v>
      </c>
      <c r="J194" s="1" t="s">
        <v>519</v>
      </c>
      <c r="P194" s="1" t="s">
        <v>490</v>
      </c>
      <c r="Q194" s="1">
        <v>1</v>
      </c>
      <c r="R194" s="1">
        <v>1</v>
      </c>
      <c r="S194" s="1">
        <v>2</v>
      </c>
    </row>
    <row r="195" spans="1:20" ht="14.25" hidden="1" customHeight="1" x14ac:dyDescent="0.2">
      <c r="A195" s="1" t="s">
        <v>331</v>
      </c>
      <c r="B195" s="1" t="s">
        <v>485</v>
      </c>
      <c r="C195" s="1">
        <v>11</v>
      </c>
      <c r="D195" s="6">
        <v>273579</v>
      </c>
      <c r="E195" s="1" t="s">
        <v>238</v>
      </c>
      <c r="F195" s="1" t="str">
        <f t="shared" ref="F195:F212" si="3">RIGHT(E195, LEN(E195) - 6)</f>
        <v>C12</v>
      </c>
      <c r="G195" s="1" t="s">
        <v>525</v>
      </c>
      <c r="H195" s="1" t="s">
        <v>486</v>
      </c>
      <c r="I195" s="1">
        <v>2024</v>
      </c>
      <c r="J195" s="1" t="s">
        <v>519</v>
      </c>
      <c r="P195" s="1" t="s">
        <v>490</v>
      </c>
      <c r="Q195" s="1">
        <v>11</v>
      </c>
      <c r="R195" s="1">
        <v>11</v>
      </c>
      <c r="S195" s="1">
        <v>32</v>
      </c>
      <c r="T195" s="1" t="s">
        <v>578</v>
      </c>
    </row>
    <row r="196" spans="1:20" ht="14.25" hidden="1" customHeight="1" x14ac:dyDescent="0.2">
      <c r="A196" s="1" t="s">
        <v>331</v>
      </c>
      <c r="B196" s="1" t="s">
        <v>485</v>
      </c>
      <c r="C196" s="1">
        <v>11</v>
      </c>
      <c r="D196" s="6">
        <v>273579</v>
      </c>
      <c r="E196" s="1" t="s">
        <v>243</v>
      </c>
      <c r="F196" s="1" t="str">
        <f t="shared" si="3"/>
        <v>C14</v>
      </c>
      <c r="G196" s="1" t="s">
        <v>526</v>
      </c>
      <c r="H196" s="1" t="s">
        <v>486</v>
      </c>
      <c r="I196" s="1">
        <v>2024</v>
      </c>
      <c r="J196" s="1" t="s">
        <v>519</v>
      </c>
      <c r="P196" s="1" t="s">
        <v>490</v>
      </c>
      <c r="Q196" s="1">
        <v>0</v>
      </c>
      <c r="R196" s="1">
        <v>0</v>
      </c>
      <c r="S196" s="1" t="s">
        <v>490</v>
      </c>
    </row>
    <row r="197" spans="1:20" ht="14.25" hidden="1" customHeight="1" x14ac:dyDescent="0.2">
      <c r="A197" s="1" t="s">
        <v>331</v>
      </c>
      <c r="B197" s="1" t="s">
        <v>485</v>
      </c>
      <c r="C197" s="1">
        <v>11</v>
      </c>
      <c r="D197" s="6">
        <v>273579</v>
      </c>
      <c r="E197" s="1" t="s">
        <v>247</v>
      </c>
      <c r="F197" s="1" t="str">
        <f t="shared" si="3"/>
        <v>C16</v>
      </c>
      <c r="G197" s="1" t="s">
        <v>494</v>
      </c>
      <c r="H197" s="1" t="s">
        <v>486</v>
      </c>
      <c r="I197" s="1">
        <v>2024</v>
      </c>
      <c r="J197" s="1" t="s">
        <v>519</v>
      </c>
      <c r="P197" s="1" t="s">
        <v>490</v>
      </c>
      <c r="Q197" s="1">
        <v>0</v>
      </c>
      <c r="R197" s="1" t="s">
        <v>490</v>
      </c>
      <c r="S197" s="1" t="s">
        <v>490</v>
      </c>
    </row>
    <row r="198" spans="1:20" ht="14.25" hidden="1" customHeight="1" x14ac:dyDescent="0.2">
      <c r="A198" s="1" t="s">
        <v>331</v>
      </c>
      <c r="B198" s="1" t="s">
        <v>485</v>
      </c>
      <c r="C198" s="1">
        <v>11</v>
      </c>
      <c r="D198" s="6">
        <v>273579</v>
      </c>
      <c r="E198" s="1" t="s">
        <v>250</v>
      </c>
      <c r="F198" s="1" t="str">
        <f t="shared" si="3"/>
        <v>C17</v>
      </c>
      <c r="G198" s="1" t="s">
        <v>509</v>
      </c>
      <c r="H198" s="1" t="s">
        <v>486</v>
      </c>
      <c r="I198" s="1">
        <v>2024</v>
      </c>
      <c r="J198" s="1" t="s">
        <v>519</v>
      </c>
      <c r="P198" s="1" t="s">
        <v>490</v>
      </c>
      <c r="Q198" s="1">
        <v>0</v>
      </c>
      <c r="R198" s="1">
        <v>0</v>
      </c>
      <c r="S198" s="1">
        <v>1</v>
      </c>
    </row>
    <row r="199" spans="1:20" ht="14.25" hidden="1" customHeight="1" x14ac:dyDescent="0.2">
      <c r="A199" s="1" t="s">
        <v>331</v>
      </c>
      <c r="B199" s="1" t="s">
        <v>485</v>
      </c>
      <c r="C199" s="1">
        <v>11</v>
      </c>
      <c r="D199" s="6">
        <v>273579</v>
      </c>
      <c r="E199" s="1" t="s">
        <v>254</v>
      </c>
      <c r="F199" s="1" t="str">
        <f t="shared" si="3"/>
        <v>C19</v>
      </c>
      <c r="G199" s="1" t="s">
        <v>495</v>
      </c>
      <c r="H199" s="1" t="s">
        <v>486</v>
      </c>
      <c r="I199" s="1">
        <v>2024</v>
      </c>
      <c r="J199" s="1" t="s">
        <v>519</v>
      </c>
      <c r="P199" s="1" t="s">
        <v>490</v>
      </c>
      <c r="Q199" s="1">
        <v>0</v>
      </c>
      <c r="R199" s="1">
        <v>0</v>
      </c>
      <c r="S199" s="1">
        <v>1</v>
      </c>
    </row>
    <row r="200" spans="1:20" ht="14.25" hidden="1" customHeight="1" x14ac:dyDescent="0.2">
      <c r="A200" s="1" t="s">
        <v>332</v>
      </c>
      <c r="B200" s="1" t="s">
        <v>485</v>
      </c>
      <c r="C200" s="1">
        <v>11</v>
      </c>
      <c r="D200" s="6">
        <v>599185</v>
      </c>
      <c r="E200" s="1" t="s">
        <v>164</v>
      </c>
      <c r="F200" s="1" t="str">
        <f t="shared" si="3"/>
        <v>A01</v>
      </c>
      <c r="G200" s="1" t="s">
        <v>165</v>
      </c>
      <c r="H200" s="1" t="s">
        <v>486</v>
      </c>
      <c r="I200" s="1">
        <v>2024</v>
      </c>
      <c r="J200" s="1" t="s">
        <v>579</v>
      </c>
      <c r="P200" s="1" t="s">
        <v>490</v>
      </c>
      <c r="Q200" s="1">
        <v>6</v>
      </c>
      <c r="R200" s="1">
        <v>6</v>
      </c>
      <c r="S200" s="1">
        <v>6</v>
      </c>
    </row>
    <row r="201" spans="1:20" ht="14.25" hidden="1" customHeight="1" x14ac:dyDescent="0.2">
      <c r="A201" s="1" t="s">
        <v>332</v>
      </c>
      <c r="B201" s="1" t="s">
        <v>485</v>
      </c>
      <c r="C201" s="1">
        <v>11</v>
      </c>
      <c r="D201" s="6">
        <v>599185</v>
      </c>
      <c r="E201" s="1" t="s">
        <v>171</v>
      </c>
      <c r="F201" s="1" t="str">
        <f t="shared" si="3"/>
        <v>A04</v>
      </c>
      <c r="G201" s="1" t="s">
        <v>523</v>
      </c>
      <c r="H201" s="1" t="s">
        <v>486</v>
      </c>
      <c r="I201" s="1">
        <v>2024</v>
      </c>
      <c r="J201" s="1" t="s">
        <v>579</v>
      </c>
      <c r="P201" s="1" t="s">
        <v>490</v>
      </c>
      <c r="Q201" s="1">
        <v>0</v>
      </c>
      <c r="R201" s="1">
        <v>0</v>
      </c>
      <c r="S201" s="1">
        <v>6</v>
      </c>
    </row>
    <row r="202" spans="1:20" ht="14.25" hidden="1" customHeight="1" x14ac:dyDescent="0.2">
      <c r="A202" s="1" t="s">
        <v>332</v>
      </c>
      <c r="B202" s="1" t="s">
        <v>485</v>
      </c>
      <c r="C202" s="1">
        <v>11</v>
      </c>
      <c r="D202" s="6">
        <v>599185</v>
      </c>
      <c r="E202" s="1" t="s">
        <v>190</v>
      </c>
      <c r="F202" s="1" t="str">
        <f t="shared" si="3"/>
        <v>B02</v>
      </c>
      <c r="G202" s="1" t="s">
        <v>498</v>
      </c>
      <c r="H202" s="1" t="s">
        <v>486</v>
      </c>
      <c r="I202" s="1">
        <v>2024</v>
      </c>
      <c r="J202" s="1" t="s">
        <v>579</v>
      </c>
      <c r="N202" s="1" t="s">
        <v>489</v>
      </c>
      <c r="O202" s="1" t="s">
        <v>489</v>
      </c>
      <c r="P202" s="1" t="s">
        <v>490</v>
      </c>
      <c r="Q202" s="1">
        <v>0</v>
      </c>
      <c r="R202" s="1">
        <v>0</v>
      </c>
      <c r="S202" s="1">
        <v>2</v>
      </c>
    </row>
    <row r="203" spans="1:20" ht="14.25" hidden="1" customHeight="1" x14ac:dyDescent="0.2">
      <c r="A203" s="1" t="s">
        <v>332</v>
      </c>
      <c r="B203" s="1" t="s">
        <v>485</v>
      </c>
      <c r="C203" s="1">
        <v>11</v>
      </c>
      <c r="D203" s="6">
        <v>599185</v>
      </c>
      <c r="E203" s="1" t="s">
        <v>210</v>
      </c>
      <c r="F203" s="1" t="str">
        <f t="shared" si="3"/>
        <v>B11</v>
      </c>
      <c r="G203" s="1" t="s">
        <v>501</v>
      </c>
      <c r="H203" s="1" t="s">
        <v>486</v>
      </c>
      <c r="I203" s="1">
        <v>2024</v>
      </c>
      <c r="J203" s="1" t="s">
        <v>579</v>
      </c>
      <c r="M203" s="1" t="s">
        <v>489</v>
      </c>
      <c r="P203" s="1" t="s">
        <v>490</v>
      </c>
      <c r="Q203" s="1">
        <v>0</v>
      </c>
      <c r="R203" s="1">
        <v>0</v>
      </c>
      <c r="S203" s="1">
        <v>100</v>
      </c>
      <c r="T203" s="1" t="s">
        <v>580</v>
      </c>
    </row>
    <row r="204" spans="1:20" ht="14.25" hidden="1" customHeight="1" x14ac:dyDescent="0.2">
      <c r="A204" s="1" t="s">
        <v>332</v>
      </c>
      <c r="B204" s="1" t="s">
        <v>485</v>
      </c>
      <c r="C204" s="1">
        <v>11</v>
      </c>
      <c r="D204" s="6">
        <v>599185</v>
      </c>
      <c r="E204" s="1" t="s">
        <v>217</v>
      </c>
      <c r="F204" s="1" t="str">
        <f t="shared" si="3"/>
        <v>C02</v>
      </c>
      <c r="G204" s="1" t="s">
        <v>493</v>
      </c>
      <c r="H204" s="1" t="s">
        <v>486</v>
      </c>
      <c r="I204" s="1">
        <v>2024</v>
      </c>
      <c r="J204" s="1" t="s">
        <v>579</v>
      </c>
      <c r="P204" s="1" t="s">
        <v>490</v>
      </c>
      <c r="Q204" s="1">
        <v>1</v>
      </c>
      <c r="R204" s="1">
        <v>1</v>
      </c>
      <c r="S204" s="1">
        <v>5</v>
      </c>
    </row>
    <row r="205" spans="1:20" ht="14.25" hidden="1" customHeight="1" x14ac:dyDescent="0.2">
      <c r="A205" s="1" t="s">
        <v>332</v>
      </c>
      <c r="B205" s="1" t="s">
        <v>485</v>
      </c>
      <c r="C205" s="1">
        <v>11</v>
      </c>
      <c r="D205" s="6">
        <v>599185</v>
      </c>
      <c r="E205" s="1" t="s">
        <v>219</v>
      </c>
      <c r="F205" s="1" t="str">
        <f t="shared" si="3"/>
        <v>C03</v>
      </c>
      <c r="G205" s="1" t="s">
        <v>531</v>
      </c>
      <c r="H205" s="1" t="s">
        <v>486</v>
      </c>
      <c r="I205" s="1">
        <v>2024</v>
      </c>
      <c r="J205" s="1" t="s">
        <v>579</v>
      </c>
      <c r="M205" s="1" t="s">
        <v>489</v>
      </c>
      <c r="P205" s="1" t="s">
        <v>490</v>
      </c>
      <c r="Q205" s="1">
        <v>0</v>
      </c>
      <c r="R205" s="1">
        <v>0</v>
      </c>
      <c r="S205" s="1">
        <v>1</v>
      </c>
    </row>
    <row r="206" spans="1:20" ht="14.25" hidden="1" customHeight="1" x14ac:dyDescent="0.2">
      <c r="A206" s="1" t="s">
        <v>332</v>
      </c>
      <c r="B206" s="1" t="s">
        <v>485</v>
      </c>
      <c r="C206" s="1">
        <v>11</v>
      </c>
      <c r="D206" s="6">
        <v>599185</v>
      </c>
      <c r="E206" s="1" t="s">
        <v>263</v>
      </c>
      <c r="F206" s="1" t="str">
        <f t="shared" si="3"/>
        <v>D04</v>
      </c>
      <c r="G206" s="1" t="s">
        <v>520</v>
      </c>
      <c r="H206" s="1" t="s">
        <v>486</v>
      </c>
      <c r="I206" s="1">
        <v>2024</v>
      </c>
      <c r="J206" s="1" t="s">
        <v>579</v>
      </c>
      <c r="P206" s="1" t="s">
        <v>490</v>
      </c>
      <c r="Q206" s="1">
        <v>0</v>
      </c>
      <c r="R206" s="1">
        <v>0</v>
      </c>
      <c r="S206" s="1">
        <v>10</v>
      </c>
    </row>
    <row r="207" spans="1:20" ht="14.25" hidden="1" customHeight="1" x14ac:dyDescent="0.2">
      <c r="A207" s="1" t="s">
        <v>332</v>
      </c>
      <c r="B207" s="1" t="s">
        <v>485</v>
      </c>
      <c r="C207" s="1">
        <v>8</v>
      </c>
      <c r="D207" s="6">
        <v>599185</v>
      </c>
      <c r="E207" s="1" t="s">
        <v>279</v>
      </c>
      <c r="F207" s="1" t="str">
        <f t="shared" si="3"/>
        <v>D12</v>
      </c>
      <c r="G207" s="1" t="s">
        <v>567</v>
      </c>
      <c r="H207" s="1" t="s">
        <v>486</v>
      </c>
      <c r="I207" s="1">
        <v>2024</v>
      </c>
      <c r="J207" s="1" t="s">
        <v>579</v>
      </c>
      <c r="P207" s="1" t="s">
        <v>490</v>
      </c>
      <c r="Q207" s="1">
        <v>210</v>
      </c>
      <c r="R207" s="1">
        <v>210</v>
      </c>
      <c r="S207" s="1">
        <v>310</v>
      </c>
      <c r="T207" s="1" t="s">
        <v>580</v>
      </c>
    </row>
    <row r="208" spans="1:20" ht="14.25" hidden="1" customHeight="1" x14ac:dyDescent="0.2">
      <c r="A208" s="1" t="s">
        <v>56</v>
      </c>
      <c r="B208" s="1" t="s">
        <v>485</v>
      </c>
      <c r="C208" s="1">
        <v>8</v>
      </c>
      <c r="D208" s="6">
        <v>306653</v>
      </c>
      <c r="E208" s="1" t="s">
        <v>581</v>
      </c>
      <c r="F208" s="1" t="str">
        <f t="shared" si="3"/>
        <v xml:space="preserve">A01 </v>
      </c>
      <c r="G208" s="1" t="s">
        <v>165</v>
      </c>
      <c r="H208" s="1" t="s">
        <v>486</v>
      </c>
      <c r="I208" s="1">
        <v>2024</v>
      </c>
      <c r="J208" s="1" t="s">
        <v>582</v>
      </c>
      <c r="K208" s="1" t="s">
        <v>488</v>
      </c>
      <c r="L208" s="1" t="s">
        <v>489</v>
      </c>
      <c r="P208" s="1" t="s">
        <v>490</v>
      </c>
      <c r="Q208" s="1">
        <v>2</v>
      </c>
      <c r="R208" s="1">
        <v>2</v>
      </c>
      <c r="S208" s="1">
        <v>1</v>
      </c>
    </row>
    <row r="209" spans="1:19" ht="14.25" hidden="1" customHeight="1" x14ac:dyDescent="0.2">
      <c r="A209" s="1" t="s">
        <v>56</v>
      </c>
      <c r="B209" s="1" t="s">
        <v>485</v>
      </c>
      <c r="C209" s="1">
        <v>8</v>
      </c>
      <c r="D209" s="6">
        <v>306653</v>
      </c>
      <c r="E209" s="1" t="s">
        <v>581</v>
      </c>
      <c r="F209" s="1" t="str">
        <f t="shared" si="3"/>
        <v xml:space="preserve">A01 </v>
      </c>
      <c r="G209" s="1" t="s">
        <v>165</v>
      </c>
      <c r="H209" s="1" t="s">
        <v>486</v>
      </c>
      <c r="I209" s="1">
        <v>2024</v>
      </c>
      <c r="J209" s="1" t="s">
        <v>582</v>
      </c>
      <c r="K209" s="1" t="s">
        <v>491</v>
      </c>
      <c r="L209" s="1" t="s">
        <v>489</v>
      </c>
      <c r="P209" s="1" t="s">
        <v>490</v>
      </c>
      <c r="Q209" s="1">
        <v>3</v>
      </c>
      <c r="R209" s="1">
        <v>4</v>
      </c>
      <c r="S209" s="1">
        <v>2</v>
      </c>
    </row>
    <row r="210" spans="1:19" ht="14.25" hidden="1" customHeight="1" x14ac:dyDescent="0.2">
      <c r="A210" s="1" t="s">
        <v>56</v>
      </c>
      <c r="B210" s="1" t="s">
        <v>485</v>
      </c>
      <c r="C210" s="1">
        <v>8</v>
      </c>
      <c r="D210" s="6">
        <v>306653</v>
      </c>
      <c r="E210" s="1" t="s">
        <v>171</v>
      </c>
      <c r="F210" s="1" t="str">
        <f t="shared" si="3"/>
        <v>A04</v>
      </c>
      <c r="G210" s="1" t="s">
        <v>576</v>
      </c>
      <c r="H210" s="1" t="s">
        <v>486</v>
      </c>
      <c r="I210" s="1">
        <v>2024</v>
      </c>
      <c r="J210" s="1" t="s">
        <v>582</v>
      </c>
      <c r="P210" s="1" t="s">
        <v>490</v>
      </c>
      <c r="Q210" s="1">
        <v>2</v>
      </c>
      <c r="R210" s="1">
        <v>2</v>
      </c>
      <c r="S210" s="1">
        <v>2</v>
      </c>
    </row>
    <row r="211" spans="1:19" ht="14.25" hidden="1" customHeight="1" x14ac:dyDescent="0.2">
      <c r="A211" s="1" t="s">
        <v>56</v>
      </c>
      <c r="B211" s="1" t="s">
        <v>485</v>
      </c>
      <c r="C211" s="1">
        <v>8</v>
      </c>
      <c r="D211" s="6">
        <v>306653</v>
      </c>
      <c r="E211" s="1" t="s">
        <v>199</v>
      </c>
      <c r="F211" s="1" t="str">
        <f t="shared" si="3"/>
        <v>B06</v>
      </c>
      <c r="G211" s="1" t="s">
        <v>200</v>
      </c>
      <c r="H211" s="1" t="s">
        <v>486</v>
      </c>
      <c r="I211" s="1">
        <v>2024</v>
      </c>
      <c r="J211" s="1" t="s">
        <v>582</v>
      </c>
      <c r="K211" s="1" t="s">
        <v>488</v>
      </c>
      <c r="L211" s="1" t="s">
        <v>489</v>
      </c>
      <c r="P211" s="1" t="s">
        <v>490</v>
      </c>
      <c r="Q211" s="1">
        <v>4</v>
      </c>
      <c r="R211" s="1">
        <v>4</v>
      </c>
      <c r="S211" s="1">
        <v>4</v>
      </c>
    </row>
    <row r="212" spans="1:19" ht="14.25" hidden="1" customHeight="1" x14ac:dyDescent="0.2">
      <c r="A212" s="1" t="s">
        <v>56</v>
      </c>
      <c r="B212" s="1" t="s">
        <v>485</v>
      </c>
      <c r="C212" s="1">
        <v>8</v>
      </c>
      <c r="D212" s="6">
        <v>306653</v>
      </c>
      <c r="E212" s="1" t="s">
        <v>199</v>
      </c>
      <c r="F212" s="1" t="str">
        <f t="shared" si="3"/>
        <v>B06</v>
      </c>
      <c r="G212" s="1" t="s">
        <v>200</v>
      </c>
      <c r="H212" s="1" t="s">
        <v>486</v>
      </c>
      <c r="I212" s="1">
        <v>2024</v>
      </c>
      <c r="J212" s="1" t="s">
        <v>582</v>
      </c>
      <c r="K212" s="1" t="s">
        <v>491</v>
      </c>
      <c r="L212" s="1" t="s">
        <v>489</v>
      </c>
      <c r="P212" s="1" t="s">
        <v>490</v>
      </c>
      <c r="Q212" s="1">
        <v>4</v>
      </c>
      <c r="R212" s="1">
        <v>4</v>
      </c>
      <c r="S212" s="1">
        <v>4</v>
      </c>
    </row>
    <row r="213" spans="1:19" ht="14.25" hidden="1" customHeight="1" x14ac:dyDescent="0.2">
      <c r="A213" s="1" t="s">
        <v>56</v>
      </c>
      <c r="B213" s="1" t="s">
        <v>485</v>
      </c>
      <c r="C213" s="1">
        <v>8</v>
      </c>
      <c r="D213" s="6">
        <v>306653</v>
      </c>
      <c r="E213" s="1" t="s">
        <v>215</v>
      </c>
      <c r="F213" s="1" t="str">
        <f>RIGHT(E213, LEN(E213) - 6)</f>
        <v>C01</v>
      </c>
      <c r="G213" s="1" t="s">
        <v>499</v>
      </c>
      <c r="H213" s="1" t="s">
        <v>486</v>
      </c>
      <c r="I213" s="1">
        <v>2024</v>
      </c>
      <c r="J213" s="1" t="s">
        <v>582</v>
      </c>
      <c r="P213" s="1" t="s">
        <v>490</v>
      </c>
      <c r="Q213" s="1">
        <v>3</v>
      </c>
      <c r="R213" s="1">
        <v>3</v>
      </c>
      <c r="S213" s="1">
        <v>2</v>
      </c>
    </row>
    <row r="214" spans="1:19" ht="14.25" hidden="1" customHeight="1" x14ac:dyDescent="0.2">
      <c r="A214" s="1" t="s">
        <v>56</v>
      </c>
      <c r="B214" s="1" t="s">
        <v>485</v>
      </c>
      <c r="C214" s="1">
        <v>8</v>
      </c>
      <c r="D214" s="6">
        <v>306653</v>
      </c>
      <c r="E214" s="1" t="s">
        <v>261</v>
      </c>
      <c r="F214" s="1" t="str">
        <f>RIGHT(E214, LEN(E214) - 6)</f>
        <v>D03</v>
      </c>
      <c r="G214" s="1" t="s">
        <v>532</v>
      </c>
      <c r="H214" s="1" t="s">
        <v>486</v>
      </c>
      <c r="I214" s="1">
        <v>2024</v>
      </c>
      <c r="J214" s="1" t="s">
        <v>582</v>
      </c>
      <c r="P214" s="1" t="s">
        <v>490</v>
      </c>
      <c r="Q214" s="1">
        <v>2</v>
      </c>
      <c r="R214" s="1">
        <v>3</v>
      </c>
      <c r="S214" s="1">
        <v>2</v>
      </c>
    </row>
    <row r="215" spans="1:19" ht="14.25" hidden="1" customHeight="1" x14ac:dyDescent="0.2">
      <c r="A215" s="1" t="s">
        <v>583</v>
      </c>
      <c r="B215" s="1" t="s">
        <v>485</v>
      </c>
      <c r="C215" s="1">
        <v>8</v>
      </c>
      <c r="D215" s="6">
        <v>283417</v>
      </c>
      <c r="E215" s="1" t="s">
        <v>215</v>
      </c>
      <c r="F215" s="1" t="str">
        <f>RIGHT(E215, LEN(E215) - 6)</f>
        <v>C01</v>
      </c>
      <c r="G215" s="1" t="s">
        <v>499</v>
      </c>
      <c r="H215" s="1" t="s">
        <v>486</v>
      </c>
      <c r="I215" s="1">
        <v>2024</v>
      </c>
      <c r="J215" s="1" t="s">
        <v>554</v>
      </c>
      <c r="P215" s="1" t="s">
        <v>490</v>
      </c>
      <c r="Q215" s="1">
        <v>1</v>
      </c>
      <c r="R215" s="1">
        <v>1</v>
      </c>
      <c r="S215" s="1">
        <v>1</v>
      </c>
    </row>
    <row r="216" spans="1:19" ht="14.25" hidden="1" customHeight="1" x14ac:dyDescent="0.2">
      <c r="A216" s="1" t="s">
        <v>583</v>
      </c>
      <c r="B216" s="1" t="s">
        <v>485</v>
      </c>
      <c r="C216" s="1">
        <v>8</v>
      </c>
      <c r="D216" s="6">
        <v>283417</v>
      </c>
      <c r="E216" s="1" t="s">
        <v>230</v>
      </c>
      <c r="F216" s="1" t="str">
        <f>RIGHT(E216, LEN(E216) - 6)</f>
        <v>C08</v>
      </c>
      <c r="G216" s="1" t="s">
        <v>503</v>
      </c>
      <c r="H216" s="1" t="s">
        <v>486</v>
      </c>
      <c r="I216" s="1">
        <v>2024</v>
      </c>
      <c r="J216" s="1" t="s">
        <v>554</v>
      </c>
      <c r="P216" s="1" t="s">
        <v>490</v>
      </c>
      <c r="Q216" s="1">
        <v>12</v>
      </c>
      <c r="R216" s="1">
        <v>25</v>
      </c>
      <c r="S216" s="1">
        <v>25</v>
      </c>
    </row>
    <row r="217" spans="1:19" ht="14.25" hidden="1" customHeight="1" x14ac:dyDescent="0.2">
      <c r="A217" s="1" t="s">
        <v>583</v>
      </c>
      <c r="B217" s="1" t="s">
        <v>485</v>
      </c>
      <c r="C217" s="1">
        <v>8</v>
      </c>
      <c r="D217" s="6">
        <v>283417</v>
      </c>
      <c r="E217" s="1" t="s">
        <v>250</v>
      </c>
      <c r="F217" s="1" t="str">
        <f t="shared" ref="F217:F220" si="4">RIGHT(E217, LEN(E217) - 6)</f>
        <v>C17</v>
      </c>
      <c r="G217" s="1" t="s">
        <v>509</v>
      </c>
      <c r="H217" s="1" t="s">
        <v>486</v>
      </c>
      <c r="I217" s="1">
        <v>2024</v>
      </c>
      <c r="J217" s="1" t="s">
        <v>554</v>
      </c>
      <c r="P217" s="1" t="s">
        <v>490</v>
      </c>
      <c r="Q217" s="1">
        <v>3</v>
      </c>
      <c r="R217" s="1">
        <v>3</v>
      </c>
      <c r="S217" s="1">
        <v>3</v>
      </c>
    </row>
    <row r="218" spans="1:19" ht="14.25" hidden="1" customHeight="1" x14ac:dyDescent="0.2">
      <c r="A218" s="1" t="s">
        <v>583</v>
      </c>
      <c r="B218" s="1" t="s">
        <v>485</v>
      </c>
      <c r="C218" s="1">
        <v>8</v>
      </c>
      <c r="D218" s="6">
        <v>283417</v>
      </c>
      <c r="E218" s="1" t="s">
        <v>254</v>
      </c>
      <c r="F218" s="1" t="str">
        <f t="shared" si="4"/>
        <v>C19</v>
      </c>
      <c r="G218" s="1" t="s">
        <v>255</v>
      </c>
      <c r="H218" s="1" t="s">
        <v>486</v>
      </c>
      <c r="I218" s="1">
        <v>2024</v>
      </c>
      <c r="J218" s="1" t="s">
        <v>554</v>
      </c>
      <c r="P218" s="1" t="s">
        <v>490</v>
      </c>
      <c r="Q218" s="1">
        <v>1</v>
      </c>
      <c r="R218" s="1">
        <v>2</v>
      </c>
      <c r="S218" s="1">
        <v>2</v>
      </c>
    </row>
    <row r="219" spans="1:19" ht="14.25" hidden="1" customHeight="1" x14ac:dyDescent="0.2">
      <c r="A219" s="1" t="s">
        <v>584</v>
      </c>
      <c r="B219" s="1" t="s">
        <v>485</v>
      </c>
      <c r="C219" s="1">
        <v>8</v>
      </c>
      <c r="D219" s="6">
        <v>241553</v>
      </c>
      <c r="E219" s="1" t="s">
        <v>581</v>
      </c>
      <c r="F219" s="1" t="str">
        <f t="shared" si="4"/>
        <v xml:space="preserve">A01 </v>
      </c>
      <c r="G219" s="1" t="s">
        <v>165</v>
      </c>
      <c r="H219" s="1" t="s">
        <v>486</v>
      </c>
      <c r="I219" s="1">
        <v>2024</v>
      </c>
      <c r="J219" s="1" t="s">
        <v>579</v>
      </c>
      <c r="K219" s="1" t="s">
        <v>488</v>
      </c>
      <c r="L219" s="1" t="s">
        <v>489</v>
      </c>
      <c r="P219" s="1" t="s">
        <v>490</v>
      </c>
      <c r="Q219" s="1">
        <v>0</v>
      </c>
      <c r="R219" s="1">
        <v>5</v>
      </c>
      <c r="S219" s="1">
        <v>3</v>
      </c>
    </row>
    <row r="220" spans="1:19" ht="14.25" hidden="1" customHeight="1" x14ac:dyDescent="0.2">
      <c r="A220" s="1" t="s">
        <v>584</v>
      </c>
      <c r="B220" s="1" t="s">
        <v>485</v>
      </c>
      <c r="C220" s="1">
        <v>8</v>
      </c>
      <c r="D220" s="6">
        <v>241553</v>
      </c>
      <c r="E220" s="1" t="s">
        <v>581</v>
      </c>
      <c r="F220" s="1" t="str">
        <f t="shared" si="4"/>
        <v xml:space="preserve">A01 </v>
      </c>
      <c r="G220" s="1" t="s">
        <v>165</v>
      </c>
      <c r="H220" s="1" t="s">
        <v>486</v>
      </c>
      <c r="I220" s="1">
        <v>2024</v>
      </c>
      <c r="J220" s="1" t="s">
        <v>579</v>
      </c>
      <c r="K220" s="1" t="s">
        <v>491</v>
      </c>
      <c r="L220" s="1" t="s">
        <v>489</v>
      </c>
      <c r="P220" s="1" t="s">
        <v>490</v>
      </c>
      <c r="Q220" s="1">
        <v>0</v>
      </c>
      <c r="R220" s="1">
        <v>4</v>
      </c>
      <c r="S220" s="1">
        <v>3</v>
      </c>
    </row>
    <row r="221" spans="1:19" ht="14.25" hidden="1" customHeight="1" x14ac:dyDescent="0.2">
      <c r="A221" s="1" t="s">
        <v>584</v>
      </c>
      <c r="B221" s="1" t="s">
        <v>485</v>
      </c>
      <c r="C221" s="1">
        <v>8</v>
      </c>
      <c r="D221" s="6">
        <v>241553</v>
      </c>
      <c r="E221" s="1" t="s">
        <v>169</v>
      </c>
      <c r="F221" s="1" t="str">
        <f t="shared" ref="F221:F224" si="5">RIGHT(E221, LEN(E221) - 6)</f>
        <v>A03</v>
      </c>
      <c r="G221" s="1" t="s">
        <v>170</v>
      </c>
      <c r="H221" s="1" t="s">
        <v>486</v>
      </c>
      <c r="I221" s="1">
        <v>2024</v>
      </c>
      <c r="J221" s="1" t="s">
        <v>579</v>
      </c>
      <c r="P221" s="1" t="s">
        <v>490</v>
      </c>
      <c r="Q221" s="1">
        <v>0</v>
      </c>
      <c r="R221" s="1">
        <v>3</v>
      </c>
      <c r="S221" s="1">
        <v>1</v>
      </c>
    </row>
    <row r="222" spans="1:19" ht="14.25" hidden="1" customHeight="1" x14ac:dyDescent="0.2">
      <c r="A222" s="1" t="s">
        <v>584</v>
      </c>
      <c r="B222" s="1" t="s">
        <v>485</v>
      </c>
      <c r="C222" s="1">
        <v>8</v>
      </c>
      <c r="D222" s="6">
        <v>241553</v>
      </c>
      <c r="E222" s="1" t="s">
        <v>171</v>
      </c>
      <c r="F222" s="1" t="str">
        <f t="shared" si="5"/>
        <v>A04</v>
      </c>
      <c r="G222" s="1" t="s">
        <v>576</v>
      </c>
      <c r="H222" s="1" t="s">
        <v>486</v>
      </c>
      <c r="I222" s="1">
        <v>2024</v>
      </c>
      <c r="J222" s="1" t="s">
        <v>579</v>
      </c>
      <c r="K222" s="1" t="s">
        <v>488</v>
      </c>
      <c r="L222" s="1" t="s">
        <v>489</v>
      </c>
      <c r="P222" s="1" t="s">
        <v>490</v>
      </c>
      <c r="Q222" s="1">
        <v>1</v>
      </c>
      <c r="R222" s="1">
        <v>1</v>
      </c>
      <c r="S222" s="1">
        <v>1</v>
      </c>
    </row>
    <row r="223" spans="1:19" ht="14.25" hidden="1" customHeight="1" x14ac:dyDescent="0.2">
      <c r="A223" s="1" t="s">
        <v>584</v>
      </c>
      <c r="B223" s="1" t="s">
        <v>485</v>
      </c>
      <c r="C223" s="1">
        <v>8</v>
      </c>
      <c r="D223" s="6">
        <v>241553</v>
      </c>
      <c r="E223" s="1" t="s">
        <v>171</v>
      </c>
      <c r="F223" s="1" t="str">
        <f t="shared" si="5"/>
        <v>A04</v>
      </c>
      <c r="G223" s="1" t="s">
        <v>576</v>
      </c>
      <c r="H223" s="1" t="s">
        <v>486</v>
      </c>
      <c r="I223" s="1">
        <v>2024</v>
      </c>
      <c r="J223" s="1" t="s">
        <v>579</v>
      </c>
      <c r="K223" s="1" t="s">
        <v>491</v>
      </c>
      <c r="L223" s="1" t="s">
        <v>489</v>
      </c>
      <c r="P223" s="1" t="s">
        <v>490</v>
      </c>
      <c r="Q223" s="1">
        <v>1</v>
      </c>
      <c r="R223" s="1">
        <v>1</v>
      </c>
      <c r="S223" s="1">
        <v>2</v>
      </c>
    </row>
    <row r="224" spans="1:19" ht="14.25" hidden="1" customHeight="1" x14ac:dyDescent="0.2">
      <c r="A224" s="1" t="s">
        <v>584</v>
      </c>
      <c r="B224" s="1" t="s">
        <v>485</v>
      </c>
      <c r="C224" s="1">
        <v>8</v>
      </c>
      <c r="D224" s="6">
        <v>241553</v>
      </c>
      <c r="E224" s="1" t="s">
        <v>221</v>
      </c>
      <c r="F224" s="1" t="str">
        <f t="shared" si="5"/>
        <v>C04</v>
      </c>
      <c r="G224" s="1" t="s">
        <v>530</v>
      </c>
      <c r="H224" s="1" t="s">
        <v>486</v>
      </c>
      <c r="I224" s="1">
        <v>2024</v>
      </c>
      <c r="J224" s="1" t="s">
        <v>579</v>
      </c>
      <c r="P224" s="1" t="s">
        <v>490</v>
      </c>
      <c r="Q224" s="1">
        <v>2</v>
      </c>
      <c r="R224" s="1">
        <v>2</v>
      </c>
      <c r="S224" s="1">
        <v>2</v>
      </c>
    </row>
    <row r="225" spans="1:20" ht="14.25" hidden="1" customHeight="1" x14ac:dyDescent="0.2">
      <c r="A225" s="1" t="s">
        <v>584</v>
      </c>
      <c r="B225" s="1" t="s">
        <v>485</v>
      </c>
      <c r="C225" s="1">
        <v>8</v>
      </c>
      <c r="D225" s="6">
        <v>241553</v>
      </c>
      <c r="E225" s="1" t="s">
        <v>197</v>
      </c>
      <c r="F225" s="1" t="str">
        <f t="shared" ref="F225:F226" si="6">RIGHT(E225, LEN(E225) - 6)</f>
        <v>B05</v>
      </c>
      <c r="G225" s="1" t="s">
        <v>198</v>
      </c>
      <c r="H225" s="1" t="s">
        <v>486</v>
      </c>
      <c r="I225" s="1">
        <v>2024</v>
      </c>
      <c r="J225" s="1" t="s">
        <v>579</v>
      </c>
      <c r="K225" s="1" t="s">
        <v>488</v>
      </c>
      <c r="L225" s="1" t="s">
        <v>489</v>
      </c>
      <c r="P225" s="1" t="s">
        <v>490</v>
      </c>
      <c r="Q225" s="1">
        <v>77</v>
      </c>
      <c r="R225" s="1">
        <v>77</v>
      </c>
      <c r="S225" s="1">
        <v>50</v>
      </c>
    </row>
    <row r="226" spans="1:20" ht="14.25" hidden="1" customHeight="1" x14ac:dyDescent="0.2">
      <c r="A226" s="1" t="s">
        <v>584</v>
      </c>
      <c r="B226" s="1" t="s">
        <v>485</v>
      </c>
      <c r="C226" s="1">
        <v>8</v>
      </c>
      <c r="D226" s="6">
        <v>241553</v>
      </c>
      <c r="E226" s="1" t="s">
        <v>197</v>
      </c>
      <c r="F226" s="1" t="str">
        <f t="shared" si="6"/>
        <v>B05</v>
      </c>
      <c r="G226" s="1" t="s">
        <v>198</v>
      </c>
      <c r="H226" s="1" t="s">
        <v>486</v>
      </c>
      <c r="I226" s="1">
        <v>2024</v>
      </c>
      <c r="J226" s="1" t="s">
        <v>579</v>
      </c>
      <c r="K226" s="1" t="s">
        <v>491</v>
      </c>
      <c r="L226" s="1" t="s">
        <v>489</v>
      </c>
      <c r="P226" s="1" t="s">
        <v>490</v>
      </c>
      <c r="Q226" s="1">
        <v>98</v>
      </c>
      <c r="R226" s="1">
        <v>98</v>
      </c>
      <c r="S226" s="1">
        <v>50</v>
      </c>
    </row>
    <row r="227" spans="1:20" ht="14.25" hidden="1" customHeight="1" x14ac:dyDescent="0.2">
      <c r="A227" s="1" t="s">
        <v>584</v>
      </c>
      <c r="B227" s="1" t="s">
        <v>485</v>
      </c>
      <c r="C227" s="1">
        <v>8</v>
      </c>
      <c r="D227" s="6">
        <v>241553</v>
      </c>
      <c r="E227" s="1" t="s">
        <v>215</v>
      </c>
      <c r="F227" s="1" t="str">
        <f t="shared" ref="F227:F229" si="7">RIGHT(E227, LEN(E227) - 6)</f>
        <v>C01</v>
      </c>
      <c r="G227" s="1" t="s">
        <v>499</v>
      </c>
      <c r="H227" s="1" t="s">
        <v>486</v>
      </c>
      <c r="I227" s="1">
        <v>2024</v>
      </c>
      <c r="J227" s="1" t="s">
        <v>579</v>
      </c>
      <c r="P227" s="1" t="s">
        <v>490</v>
      </c>
      <c r="Q227" s="1">
        <v>1</v>
      </c>
      <c r="R227" s="1">
        <v>1</v>
      </c>
      <c r="S227" s="1">
        <v>1</v>
      </c>
    </row>
    <row r="228" spans="1:20" ht="14.25" hidden="1" customHeight="1" x14ac:dyDescent="0.2">
      <c r="A228" s="1" t="s">
        <v>584</v>
      </c>
      <c r="B228" s="1" t="s">
        <v>485</v>
      </c>
      <c r="C228" s="1">
        <v>8</v>
      </c>
      <c r="D228" s="6">
        <v>241553</v>
      </c>
      <c r="E228" s="1" t="s">
        <v>192</v>
      </c>
      <c r="F228" s="1" t="str">
        <f t="shared" si="7"/>
        <v>B03</v>
      </c>
      <c r="G228" s="1" t="s">
        <v>193</v>
      </c>
      <c r="H228" s="1" t="s">
        <v>486</v>
      </c>
      <c r="I228" s="1">
        <v>2024</v>
      </c>
      <c r="J228" s="1" t="s">
        <v>579</v>
      </c>
      <c r="P228" s="1" t="s">
        <v>490</v>
      </c>
      <c r="Q228" s="1">
        <v>0</v>
      </c>
      <c r="R228" s="1">
        <v>0</v>
      </c>
      <c r="S228" s="1">
        <v>1</v>
      </c>
      <c r="T228" s="1" t="s">
        <v>585</v>
      </c>
    </row>
    <row r="229" spans="1:20" ht="14.25" hidden="1" customHeight="1" x14ac:dyDescent="0.2">
      <c r="A229" s="1" t="s">
        <v>584</v>
      </c>
      <c r="B229" s="1" t="s">
        <v>485</v>
      </c>
      <c r="C229" s="1">
        <v>8</v>
      </c>
      <c r="D229" s="6">
        <v>241553</v>
      </c>
      <c r="E229" s="1" t="s">
        <v>261</v>
      </c>
      <c r="F229" s="1" t="str">
        <f t="shared" si="7"/>
        <v>D03</v>
      </c>
      <c r="G229" s="1" t="s">
        <v>532</v>
      </c>
      <c r="H229" s="1" t="s">
        <v>486</v>
      </c>
      <c r="I229" s="1">
        <v>2024</v>
      </c>
      <c r="J229" s="1" t="s">
        <v>579</v>
      </c>
      <c r="P229" s="1" t="s">
        <v>490</v>
      </c>
      <c r="Q229" s="1">
        <v>0</v>
      </c>
      <c r="R229" s="1">
        <v>0</v>
      </c>
      <c r="S229" s="1">
        <v>1</v>
      </c>
      <c r="T229" s="1" t="s">
        <v>585</v>
      </c>
    </row>
    <row r="230" spans="1:20" ht="14.25" hidden="1" customHeight="1" x14ac:dyDescent="0.2">
      <c r="A230" s="1" t="s">
        <v>64</v>
      </c>
      <c r="B230" s="1" t="s">
        <v>485</v>
      </c>
      <c r="C230" s="1">
        <v>8</v>
      </c>
      <c r="D230" s="6">
        <v>299603</v>
      </c>
      <c r="E230" s="1" t="s">
        <v>188</v>
      </c>
      <c r="F230" s="1" t="str">
        <f>RIGHT(E230, LEN(E230) - 6)</f>
        <v>B01</v>
      </c>
      <c r="G230" s="1" t="s">
        <v>189</v>
      </c>
      <c r="H230" s="1" t="s">
        <v>486</v>
      </c>
      <c r="I230" s="1">
        <v>2024</v>
      </c>
      <c r="J230" s="1" t="s">
        <v>586</v>
      </c>
      <c r="P230" s="1" t="s">
        <v>490</v>
      </c>
      <c r="Q230" s="1">
        <v>0</v>
      </c>
      <c r="R230" s="1">
        <v>1</v>
      </c>
      <c r="S230" s="1">
        <v>2</v>
      </c>
    </row>
    <row r="231" spans="1:20" ht="14.25" hidden="1" customHeight="1" x14ac:dyDescent="0.2">
      <c r="A231" s="1" t="s">
        <v>64</v>
      </c>
      <c r="B231" s="1" t="s">
        <v>485</v>
      </c>
      <c r="C231" s="1">
        <v>8</v>
      </c>
      <c r="D231" s="6">
        <v>299603</v>
      </c>
      <c r="E231" s="1" t="s">
        <v>190</v>
      </c>
      <c r="F231" s="1" t="str">
        <f>RIGHT(E231, LEN(E231) - 6)</f>
        <v>B02</v>
      </c>
      <c r="G231" s="1" t="s">
        <v>191</v>
      </c>
      <c r="H231" s="1" t="s">
        <v>486</v>
      </c>
      <c r="I231" s="1">
        <v>2024</v>
      </c>
      <c r="J231" s="1" t="s">
        <v>586</v>
      </c>
      <c r="P231" s="1" t="s">
        <v>490</v>
      </c>
      <c r="Q231" s="1">
        <v>0</v>
      </c>
      <c r="R231" s="1">
        <v>1</v>
      </c>
      <c r="S231" s="1">
        <v>1</v>
      </c>
    </row>
    <row r="232" spans="1:20" ht="14.25" hidden="1" customHeight="1" x14ac:dyDescent="0.2">
      <c r="A232" s="1" t="s">
        <v>64</v>
      </c>
      <c r="B232" s="1" t="s">
        <v>485</v>
      </c>
      <c r="C232" s="1">
        <v>8</v>
      </c>
      <c r="D232" s="6">
        <v>299603</v>
      </c>
      <c r="E232" s="1" t="s">
        <v>215</v>
      </c>
      <c r="F232" s="1" t="str">
        <f t="shared" ref="F232:F233" si="8">RIGHT(E232, LEN(E232) - 6)</f>
        <v>C01</v>
      </c>
      <c r="G232" s="1" t="s">
        <v>216</v>
      </c>
      <c r="H232" s="1" t="s">
        <v>486</v>
      </c>
      <c r="I232" s="1">
        <v>2024</v>
      </c>
      <c r="J232" s="1" t="s">
        <v>586</v>
      </c>
      <c r="P232" s="1" t="s">
        <v>490</v>
      </c>
      <c r="Q232" s="1">
        <v>1</v>
      </c>
      <c r="R232" s="1">
        <v>1</v>
      </c>
      <c r="S232" s="1">
        <v>0</v>
      </c>
    </row>
    <row r="233" spans="1:20" ht="14.25" hidden="1" customHeight="1" x14ac:dyDescent="0.2">
      <c r="A233" s="1" t="s">
        <v>64</v>
      </c>
      <c r="B233" s="1" t="s">
        <v>485</v>
      </c>
      <c r="C233" s="1">
        <v>9</v>
      </c>
      <c r="D233" s="6">
        <v>299603</v>
      </c>
      <c r="E233" s="1" t="s">
        <v>217</v>
      </c>
      <c r="F233" s="1" t="str">
        <f t="shared" si="8"/>
        <v>C02</v>
      </c>
      <c r="G233" s="1" t="s">
        <v>218</v>
      </c>
      <c r="H233" s="1" t="s">
        <v>486</v>
      </c>
      <c r="I233" s="1">
        <v>2024</v>
      </c>
      <c r="J233" s="1" t="s">
        <v>586</v>
      </c>
      <c r="P233" s="1" t="s">
        <v>490</v>
      </c>
      <c r="Q233" s="1">
        <v>2</v>
      </c>
      <c r="R233" s="1">
        <v>2</v>
      </c>
      <c r="S233" s="1">
        <v>2</v>
      </c>
    </row>
    <row r="234" spans="1:20" ht="14.25" hidden="1" customHeight="1" x14ac:dyDescent="0.2">
      <c r="A234" s="1" t="s">
        <v>70</v>
      </c>
      <c r="B234" s="1" t="s">
        <v>485</v>
      </c>
      <c r="C234" s="1">
        <v>9</v>
      </c>
      <c r="D234" s="6">
        <v>251807</v>
      </c>
      <c r="E234" s="1" t="s">
        <v>164</v>
      </c>
      <c r="F234" s="1" t="str">
        <f>RIGHT(E234, LEN(E234) - 6)</f>
        <v>A01</v>
      </c>
      <c r="G234" s="1" t="s">
        <v>165</v>
      </c>
      <c r="H234" s="1" t="s">
        <v>486</v>
      </c>
      <c r="I234" s="1">
        <v>2024</v>
      </c>
      <c r="J234" s="1" t="s">
        <v>586</v>
      </c>
      <c r="K234" s="1" t="s">
        <v>488</v>
      </c>
      <c r="L234" s="1" t="s">
        <v>489</v>
      </c>
      <c r="P234" s="1" t="s">
        <v>490</v>
      </c>
      <c r="Q234" s="1">
        <v>0</v>
      </c>
      <c r="R234" s="1">
        <v>33</v>
      </c>
      <c r="S234" s="1">
        <v>33</v>
      </c>
      <c r="T234" s="1" t="s">
        <v>587</v>
      </c>
    </row>
    <row r="235" spans="1:20" ht="14.25" hidden="1" customHeight="1" x14ac:dyDescent="0.2">
      <c r="A235" s="1" t="s">
        <v>70</v>
      </c>
      <c r="B235" s="1" t="s">
        <v>485</v>
      </c>
      <c r="C235" s="1">
        <v>9</v>
      </c>
      <c r="D235" s="6">
        <v>251807</v>
      </c>
      <c r="E235" s="1" t="s">
        <v>164</v>
      </c>
      <c r="F235" s="1" t="str">
        <f>RIGHT(E235, LEN(E235) - 6)</f>
        <v>A01</v>
      </c>
      <c r="G235" s="1" t="s">
        <v>165</v>
      </c>
      <c r="H235" s="1" t="s">
        <v>486</v>
      </c>
      <c r="I235" s="1">
        <v>2024</v>
      </c>
      <c r="J235" s="1" t="s">
        <v>586</v>
      </c>
      <c r="K235" s="1" t="s">
        <v>491</v>
      </c>
      <c r="L235" s="1" t="s">
        <v>489</v>
      </c>
      <c r="P235" s="1" t="s">
        <v>490</v>
      </c>
      <c r="Q235" s="1">
        <v>0</v>
      </c>
      <c r="R235" s="1">
        <v>36</v>
      </c>
      <c r="S235" s="1">
        <v>36</v>
      </c>
      <c r="T235" s="1" t="s">
        <v>587</v>
      </c>
    </row>
    <row r="236" spans="1:20" ht="14.25" hidden="1" customHeight="1" x14ac:dyDescent="0.2">
      <c r="A236" s="1" t="s">
        <v>70</v>
      </c>
      <c r="B236" s="1" t="s">
        <v>485</v>
      </c>
      <c r="C236" s="1">
        <v>9</v>
      </c>
      <c r="D236" s="6">
        <v>251807</v>
      </c>
      <c r="E236" s="1" t="s">
        <v>167</v>
      </c>
      <c r="F236" s="1" t="str">
        <f t="shared" ref="F236:F241" si="9">RIGHT(E236, LEN(E236) - 6)</f>
        <v>A02</v>
      </c>
      <c r="G236" s="1" t="s">
        <v>543</v>
      </c>
      <c r="H236" s="1" t="s">
        <v>486</v>
      </c>
      <c r="I236" s="1">
        <v>2024</v>
      </c>
      <c r="J236" s="1" t="s">
        <v>586</v>
      </c>
      <c r="P236" s="1" t="s">
        <v>490</v>
      </c>
      <c r="Q236" s="1">
        <v>0</v>
      </c>
      <c r="R236" s="1">
        <v>1</v>
      </c>
      <c r="S236" s="1">
        <v>1</v>
      </c>
      <c r="T236" s="1" t="s">
        <v>587</v>
      </c>
    </row>
    <row r="237" spans="1:20" ht="14.25" hidden="1" customHeight="1" x14ac:dyDescent="0.2">
      <c r="A237" s="1" t="s">
        <v>70</v>
      </c>
      <c r="B237" s="1" t="s">
        <v>485</v>
      </c>
      <c r="C237" s="1">
        <v>9</v>
      </c>
      <c r="D237" s="6">
        <v>251807</v>
      </c>
      <c r="E237" s="1" t="s">
        <v>169</v>
      </c>
      <c r="F237" s="1" t="str">
        <f t="shared" si="9"/>
        <v>A03</v>
      </c>
      <c r="G237" s="1" t="s">
        <v>170</v>
      </c>
      <c r="H237" s="1" t="s">
        <v>486</v>
      </c>
      <c r="I237" s="1">
        <v>2024</v>
      </c>
      <c r="J237" s="1" t="s">
        <v>586</v>
      </c>
      <c r="P237" s="1" t="s">
        <v>490</v>
      </c>
      <c r="Q237" s="1">
        <v>0</v>
      </c>
      <c r="R237" s="1">
        <v>14</v>
      </c>
      <c r="S237" s="1">
        <v>14</v>
      </c>
      <c r="T237" s="1" t="s">
        <v>587</v>
      </c>
    </row>
    <row r="238" spans="1:20" ht="14.25" hidden="1" customHeight="1" x14ac:dyDescent="0.2">
      <c r="A238" s="1" t="s">
        <v>70</v>
      </c>
      <c r="B238" s="1" t="s">
        <v>485</v>
      </c>
      <c r="C238" s="1">
        <v>9</v>
      </c>
      <c r="D238" s="6">
        <v>251807</v>
      </c>
      <c r="E238" s="1" t="s">
        <v>171</v>
      </c>
      <c r="F238" s="1" t="str">
        <f t="shared" si="9"/>
        <v>A04</v>
      </c>
      <c r="G238" s="1" t="s">
        <v>576</v>
      </c>
      <c r="H238" s="1" t="s">
        <v>486</v>
      </c>
      <c r="I238" s="1">
        <v>2024</v>
      </c>
      <c r="J238" s="1" t="s">
        <v>586</v>
      </c>
      <c r="P238" s="1" t="s">
        <v>490</v>
      </c>
      <c r="Q238" s="1">
        <v>0</v>
      </c>
      <c r="R238" s="1">
        <v>2</v>
      </c>
      <c r="S238" s="1">
        <v>2</v>
      </c>
      <c r="T238" s="1" t="s">
        <v>587</v>
      </c>
    </row>
    <row r="239" spans="1:20" ht="14.25" hidden="1" customHeight="1" x14ac:dyDescent="0.2">
      <c r="A239" s="1" t="s">
        <v>70</v>
      </c>
      <c r="B239" s="1" t="s">
        <v>485</v>
      </c>
      <c r="C239" s="1">
        <v>9</v>
      </c>
      <c r="D239" s="6">
        <v>251807</v>
      </c>
      <c r="E239" s="1" t="s">
        <v>179</v>
      </c>
      <c r="F239" s="1" t="str">
        <f t="shared" si="9"/>
        <v>A07</v>
      </c>
      <c r="G239" s="1" t="s">
        <v>180</v>
      </c>
      <c r="H239" s="1" t="s">
        <v>486</v>
      </c>
      <c r="I239" s="1">
        <v>2024</v>
      </c>
      <c r="J239" s="1" t="s">
        <v>586</v>
      </c>
      <c r="P239" s="1" t="s">
        <v>490</v>
      </c>
      <c r="Q239" s="1">
        <v>0</v>
      </c>
      <c r="R239" s="1">
        <v>9</v>
      </c>
      <c r="S239" s="1">
        <v>9</v>
      </c>
      <c r="T239" s="1" t="s">
        <v>587</v>
      </c>
    </row>
    <row r="240" spans="1:20" ht="14.25" hidden="1" customHeight="1" x14ac:dyDescent="0.2">
      <c r="A240" s="1" t="s">
        <v>70</v>
      </c>
      <c r="B240" s="1" t="s">
        <v>485</v>
      </c>
      <c r="C240" s="1">
        <v>9</v>
      </c>
      <c r="D240" s="6">
        <v>251807</v>
      </c>
      <c r="E240" s="1" t="s">
        <v>197</v>
      </c>
      <c r="F240" s="1" t="str">
        <f t="shared" si="9"/>
        <v>B05</v>
      </c>
      <c r="G240" s="1" t="s">
        <v>198</v>
      </c>
      <c r="H240" s="1" t="s">
        <v>486</v>
      </c>
      <c r="I240" s="1">
        <v>2024</v>
      </c>
      <c r="J240" s="1" t="s">
        <v>586</v>
      </c>
      <c r="P240" s="1" t="s">
        <v>490</v>
      </c>
      <c r="Q240" s="1">
        <v>0</v>
      </c>
      <c r="R240" s="1">
        <v>2</v>
      </c>
      <c r="S240" s="1">
        <v>2</v>
      </c>
      <c r="T240" s="1" t="s">
        <v>587</v>
      </c>
    </row>
    <row r="241" spans="1:20" ht="14.25" hidden="1" customHeight="1" x14ac:dyDescent="0.2">
      <c r="A241" s="1" t="s">
        <v>70</v>
      </c>
      <c r="B241" s="1" t="s">
        <v>485</v>
      </c>
      <c r="C241" s="1">
        <v>9</v>
      </c>
      <c r="D241" s="6">
        <v>251807</v>
      </c>
      <c r="E241" s="1" t="s">
        <v>210</v>
      </c>
      <c r="F241" s="1" t="str">
        <f t="shared" si="9"/>
        <v>B11</v>
      </c>
      <c r="G241" s="1" t="s">
        <v>211</v>
      </c>
      <c r="H241" s="1" t="s">
        <v>486</v>
      </c>
      <c r="I241" s="1">
        <v>2024</v>
      </c>
      <c r="J241" s="1" t="s">
        <v>586</v>
      </c>
      <c r="P241" s="1" t="s">
        <v>490</v>
      </c>
      <c r="Q241" s="1">
        <v>0</v>
      </c>
      <c r="R241" s="1">
        <v>15621</v>
      </c>
      <c r="S241" s="1">
        <v>15621</v>
      </c>
      <c r="T241" s="1" t="s">
        <v>587</v>
      </c>
    </row>
    <row r="242" spans="1:20" ht="14.25" hidden="1" customHeight="1" x14ac:dyDescent="0.2">
      <c r="A242" s="1" t="s">
        <v>70</v>
      </c>
      <c r="B242" s="1" t="s">
        <v>485</v>
      </c>
      <c r="C242" s="1">
        <v>9</v>
      </c>
      <c r="D242" s="6">
        <v>251807</v>
      </c>
      <c r="E242" s="1" t="s">
        <v>215</v>
      </c>
      <c r="F242" s="1" t="str">
        <f t="shared" ref="F242:F247" si="10">RIGHT(E242, LEN(E242) - 6)</f>
        <v>C01</v>
      </c>
      <c r="G242" s="1" t="s">
        <v>216</v>
      </c>
      <c r="H242" s="1" t="s">
        <v>486</v>
      </c>
      <c r="I242" s="1">
        <v>2024</v>
      </c>
      <c r="J242" s="1" t="s">
        <v>586</v>
      </c>
      <c r="P242" s="1" t="s">
        <v>490</v>
      </c>
      <c r="Q242" s="1">
        <v>0</v>
      </c>
      <c r="R242" s="1">
        <v>1</v>
      </c>
      <c r="S242" s="1">
        <v>1</v>
      </c>
      <c r="T242" s="1" t="s">
        <v>587</v>
      </c>
    </row>
    <row r="243" spans="1:20" ht="14.25" hidden="1" customHeight="1" x14ac:dyDescent="0.2">
      <c r="A243" s="1" t="s">
        <v>70</v>
      </c>
      <c r="B243" s="1" t="s">
        <v>485</v>
      </c>
      <c r="C243" s="1">
        <v>9</v>
      </c>
      <c r="D243" s="6">
        <v>251807</v>
      </c>
      <c r="E243" s="1" t="s">
        <v>223</v>
      </c>
      <c r="F243" s="1" t="str">
        <f t="shared" si="10"/>
        <v>C05</v>
      </c>
      <c r="G243" s="1" t="s">
        <v>224</v>
      </c>
      <c r="H243" s="1" t="s">
        <v>486</v>
      </c>
      <c r="I243" s="1">
        <v>2024</v>
      </c>
      <c r="J243" s="1" t="s">
        <v>586</v>
      </c>
      <c r="P243" s="1" t="s">
        <v>490</v>
      </c>
      <c r="Q243" s="1">
        <v>0</v>
      </c>
      <c r="R243" s="1">
        <v>40</v>
      </c>
      <c r="S243" s="1">
        <v>40</v>
      </c>
      <c r="T243" s="1" t="s">
        <v>587</v>
      </c>
    </row>
    <row r="244" spans="1:20" ht="14.25" hidden="1" customHeight="1" x14ac:dyDescent="0.2">
      <c r="A244" s="1" t="s">
        <v>70</v>
      </c>
      <c r="B244" s="1" t="s">
        <v>485</v>
      </c>
      <c r="C244" s="1">
        <v>9</v>
      </c>
      <c r="D244" s="6">
        <v>251807</v>
      </c>
      <c r="E244" s="1" t="s">
        <v>234</v>
      </c>
      <c r="F244" s="1" t="str">
        <f t="shared" si="10"/>
        <v>C10</v>
      </c>
      <c r="G244" s="1" t="s">
        <v>235</v>
      </c>
      <c r="H244" s="1" t="s">
        <v>486</v>
      </c>
      <c r="I244" s="1">
        <v>2024</v>
      </c>
      <c r="J244" s="1" t="s">
        <v>586</v>
      </c>
      <c r="P244" s="1" t="s">
        <v>490</v>
      </c>
      <c r="Q244" s="1">
        <v>0</v>
      </c>
      <c r="R244" s="1">
        <v>2</v>
      </c>
      <c r="S244" s="1">
        <v>2</v>
      </c>
      <c r="T244" s="1" t="s">
        <v>587</v>
      </c>
    </row>
    <row r="245" spans="1:20" ht="14.25" hidden="1" customHeight="1" x14ac:dyDescent="0.2">
      <c r="A245" s="1" t="s">
        <v>70</v>
      </c>
      <c r="B245" s="1" t="s">
        <v>485</v>
      </c>
      <c r="C245" s="1">
        <v>9</v>
      </c>
      <c r="D245" s="6">
        <v>251807</v>
      </c>
      <c r="E245" s="1" t="s">
        <v>238</v>
      </c>
      <c r="F245" s="1" t="str">
        <f t="shared" si="10"/>
        <v>C12</v>
      </c>
      <c r="G245" s="1" t="s">
        <v>239</v>
      </c>
      <c r="H245" s="1" t="s">
        <v>486</v>
      </c>
      <c r="I245" s="1">
        <v>2024</v>
      </c>
      <c r="J245" s="1" t="s">
        <v>586</v>
      </c>
      <c r="P245" s="1" t="s">
        <v>490</v>
      </c>
      <c r="Q245" s="1">
        <v>0</v>
      </c>
      <c r="R245" s="1">
        <v>121</v>
      </c>
      <c r="S245" s="1">
        <v>121</v>
      </c>
      <c r="T245" s="1" t="s">
        <v>587</v>
      </c>
    </row>
    <row r="246" spans="1:20" ht="14.25" hidden="1" customHeight="1" x14ac:dyDescent="0.2">
      <c r="A246" s="1" t="s">
        <v>70</v>
      </c>
      <c r="B246" s="1" t="s">
        <v>485</v>
      </c>
      <c r="C246" s="1">
        <v>9</v>
      </c>
      <c r="D246" s="6">
        <v>251807</v>
      </c>
      <c r="E246" s="1" t="s">
        <v>240</v>
      </c>
      <c r="F246" s="1" t="str">
        <f t="shared" si="10"/>
        <v>C13</v>
      </c>
      <c r="G246" s="1" t="s">
        <v>241</v>
      </c>
      <c r="H246" s="1" t="s">
        <v>486</v>
      </c>
      <c r="I246" s="1">
        <v>2024</v>
      </c>
      <c r="J246" s="1" t="s">
        <v>586</v>
      </c>
      <c r="K246" s="1" t="s">
        <v>488</v>
      </c>
      <c r="L246" s="1" t="s">
        <v>489</v>
      </c>
      <c r="P246" s="1" t="s">
        <v>490</v>
      </c>
      <c r="Q246" s="1">
        <v>0</v>
      </c>
      <c r="R246" s="1">
        <v>12</v>
      </c>
      <c r="S246" s="1">
        <v>12</v>
      </c>
      <c r="T246" s="1" t="s">
        <v>587</v>
      </c>
    </row>
    <row r="247" spans="1:20" ht="14.25" hidden="1" customHeight="1" x14ac:dyDescent="0.2">
      <c r="A247" s="1" t="s">
        <v>70</v>
      </c>
      <c r="B247" s="1" t="s">
        <v>485</v>
      </c>
      <c r="C247" s="1">
        <v>9</v>
      </c>
      <c r="D247" s="6">
        <v>251807</v>
      </c>
      <c r="E247" s="1" t="s">
        <v>240</v>
      </c>
      <c r="F247" s="1" t="str">
        <f t="shared" si="10"/>
        <v>C13</v>
      </c>
      <c r="G247" s="1" t="s">
        <v>241</v>
      </c>
      <c r="H247" s="1" t="s">
        <v>486</v>
      </c>
      <c r="I247" s="1">
        <v>2024</v>
      </c>
      <c r="J247" s="1" t="s">
        <v>586</v>
      </c>
      <c r="K247" s="1" t="s">
        <v>491</v>
      </c>
      <c r="L247" s="1" t="s">
        <v>489</v>
      </c>
      <c r="P247" s="1" t="s">
        <v>490</v>
      </c>
      <c r="Q247" s="1">
        <v>0</v>
      </c>
      <c r="R247" s="1">
        <v>7</v>
      </c>
      <c r="S247" s="1">
        <v>7</v>
      </c>
      <c r="T247" s="1" t="s">
        <v>587</v>
      </c>
    </row>
    <row r="248" spans="1:20" ht="14.25" hidden="1" customHeight="1" x14ac:dyDescent="0.2">
      <c r="A248" s="1" t="s">
        <v>70</v>
      </c>
      <c r="B248" s="1" t="s">
        <v>485</v>
      </c>
      <c r="C248" s="1">
        <v>9</v>
      </c>
      <c r="D248" s="6">
        <v>251807</v>
      </c>
      <c r="E248" s="1" t="s">
        <v>243</v>
      </c>
      <c r="F248" s="1" t="str">
        <f t="shared" ref="F248:F249" si="11">RIGHT(E248, LEN(E248) - 6)</f>
        <v>C14</v>
      </c>
      <c r="G248" s="1" t="s">
        <v>244</v>
      </c>
      <c r="H248" s="1" t="s">
        <v>486</v>
      </c>
      <c r="I248" s="1">
        <v>2024</v>
      </c>
      <c r="J248" s="1" t="s">
        <v>586</v>
      </c>
      <c r="P248" s="1" t="s">
        <v>490</v>
      </c>
      <c r="Q248" s="1">
        <v>0</v>
      </c>
      <c r="R248" s="1">
        <v>6</v>
      </c>
      <c r="S248" s="1">
        <v>6</v>
      </c>
      <c r="T248" s="1" t="s">
        <v>587</v>
      </c>
    </row>
    <row r="249" spans="1:20" ht="14.25" hidden="1" customHeight="1" x14ac:dyDescent="0.2">
      <c r="A249" s="1" t="s">
        <v>70</v>
      </c>
      <c r="B249" s="1" t="s">
        <v>485</v>
      </c>
      <c r="C249" s="1">
        <v>9</v>
      </c>
      <c r="D249" s="6">
        <v>251807</v>
      </c>
      <c r="E249" s="1" t="s">
        <v>245</v>
      </c>
      <c r="F249" s="1" t="str">
        <f t="shared" si="11"/>
        <v>C15</v>
      </c>
      <c r="G249" s="1" t="s">
        <v>246</v>
      </c>
      <c r="H249" s="1" t="s">
        <v>486</v>
      </c>
      <c r="I249" s="1">
        <v>2024</v>
      </c>
      <c r="J249" s="1" t="s">
        <v>586</v>
      </c>
      <c r="P249" s="1" t="s">
        <v>490</v>
      </c>
      <c r="Q249" s="1">
        <v>0</v>
      </c>
      <c r="R249" s="1">
        <v>2</v>
      </c>
      <c r="S249" s="1">
        <v>2</v>
      </c>
      <c r="T249" s="1" t="s">
        <v>587</v>
      </c>
    </row>
    <row r="250" spans="1:20" ht="14.25" hidden="1" customHeight="1" x14ac:dyDescent="0.2">
      <c r="A250" s="1" t="s">
        <v>588</v>
      </c>
      <c r="B250" s="1" t="s">
        <v>485</v>
      </c>
      <c r="C250" s="1">
        <v>9</v>
      </c>
      <c r="D250" s="6">
        <v>87246</v>
      </c>
      <c r="E250" s="1" t="s">
        <v>164</v>
      </c>
      <c r="F250" s="1" t="str">
        <f t="shared" ref="F250:F256" si="12">RIGHT(E250, LEN(E250) - 6)</f>
        <v>A01</v>
      </c>
      <c r="G250" s="1" t="s">
        <v>165</v>
      </c>
      <c r="H250" s="1" t="s">
        <v>486</v>
      </c>
      <c r="I250" s="1">
        <v>2024</v>
      </c>
      <c r="J250" s="1" t="s">
        <v>554</v>
      </c>
      <c r="P250" s="1" t="s">
        <v>490</v>
      </c>
      <c r="Q250" s="1">
        <v>0</v>
      </c>
      <c r="R250" s="1">
        <v>16</v>
      </c>
      <c r="S250" s="1">
        <v>16</v>
      </c>
    </row>
    <row r="251" spans="1:20" ht="14.25" hidden="1" customHeight="1" x14ac:dyDescent="0.2">
      <c r="A251" s="1" t="s">
        <v>588</v>
      </c>
      <c r="B251" s="1" t="s">
        <v>485</v>
      </c>
      <c r="C251" s="1">
        <v>9</v>
      </c>
      <c r="D251" s="6">
        <v>87246</v>
      </c>
      <c r="E251" s="1" t="s">
        <v>169</v>
      </c>
      <c r="F251" s="1" t="str">
        <f t="shared" si="12"/>
        <v>A03</v>
      </c>
      <c r="G251" s="1" t="s">
        <v>170</v>
      </c>
      <c r="H251" s="1" t="s">
        <v>486</v>
      </c>
      <c r="I251" s="1">
        <v>2024</v>
      </c>
      <c r="J251" s="1" t="s">
        <v>554</v>
      </c>
      <c r="P251" s="1" t="s">
        <v>490</v>
      </c>
      <c r="Q251" s="1">
        <v>0</v>
      </c>
      <c r="R251" s="1">
        <v>1</v>
      </c>
      <c r="S251" s="1">
        <v>1</v>
      </c>
    </row>
    <row r="252" spans="1:20" ht="14.25" hidden="1" customHeight="1" x14ac:dyDescent="0.2">
      <c r="A252" s="1" t="s">
        <v>588</v>
      </c>
      <c r="B252" s="1" t="s">
        <v>485</v>
      </c>
      <c r="C252" s="1">
        <v>9</v>
      </c>
      <c r="D252" s="6">
        <v>87246</v>
      </c>
      <c r="E252" s="1" t="s">
        <v>197</v>
      </c>
      <c r="F252" s="1" t="str">
        <f t="shared" si="12"/>
        <v>B05</v>
      </c>
      <c r="G252" s="1" t="s">
        <v>198</v>
      </c>
      <c r="H252" s="1" t="s">
        <v>486</v>
      </c>
      <c r="I252" s="1">
        <v>2024</v>
      </c>
      <c r="J252" s="1" t="s">
        <v>554</v>
      </c>
      <c r="P252" s="1" t="s">
        <v>490</v>
      </c>
      <c r="Q252" s="1">
        <v>0</v>
      </c>
      <c r="R252" s="1">
        <v>639</v>
      </c>
      <c r="S252" s="1">
        <v>639</v>
      </c>
    </row>
    <row r="253" spans="1:20" ht="14.25" hidden="1" customHeight="1" x14ac:dyDescent="0.2">
      <c r="A253" s="1" t="s">
        <v>588</v>
      </c>
      <c r="B253" s="1" t="s">
        <v>485</v>
      </c>
      <c r="C253" s="1">
        <v>9</v>
      </c>
      <c r="D253" s="6">
        <v>87246</v>
      </c>
      <c r="E253" s="1" t="s">
        <v>215</v>
      </c>
      <c r="F253" s="1" t="str">
        <f t="shared" si="12"/>
        <v>C01</v>
      </c>
      <c r="G253" s="1" t="s">
        <v>216</v>
      </c>
      <c r="H253" s="1" t="s">
        <v>486</v>
      </c>
      <c r="I253" s="1">
        <v>2024</v>
      </c>
      <c r="J253" s="1" t="s">
        <v>554</v>
      </c>
      <c r="P253" s="1" t="s">
        <v>490</v>
      </c>
      <c r="Q253" s="1">
        <v>0</v>
      </c>
      <c r="R253" s="1">
        <v>1</v>
      </c>
      <c r="S253" s="1">
        <v>1</v>
      </c>
    </row>
    <row r="254" spans="1:20" ht="14.25" hidden="1" customHeight="1" x14ac:dyDescent="0.2">
      <c r="A254" s="1" t="s">
        <v>588</v>
      </c>
      <c r="B254" s="1" t="s">
        <v>485</v>
      </c>
      <c r="C254" s="1">
        <v>9</v>
      </c>
      <c r="D254" s="6">
        <v>87246</v>
      </c>
      <c r="E254" s="1" t="s">
        <v>560</v>
      </c>
      <c r="F254" s="1" t="str">
        <f t="shared" si="12"/>
        <v>C06 </v>
      </c>
      <c r="G254" s="1" t="s">
        <v>226</v>
      </c>
      <c r="H254" s="1" t="s">
        <v>486</v>
      </c>
      <c r="I254" s="1">
        <v>2024</v>
      </c>
      <c r="J254" s="1" t="s">
        <v>554</v>
      </c>
      <c r="P254" s="1" t="s">
        <v>490</v>
      </c>
      <c r="Q254" s="1">
        <v>0</v>
      </c>
      <c r="R254" s="1">
        <v>1114</v>
      </c>
      <c r="S254" s="1">
        <v>1114</v>
      </c>
    </row>
    <row r="255" spans="1:20" ht="14.25" hidden="1" customHeight="1" x14ac:dyDescent="0.2">
      <c r="A255" s="1" t="s">
        <v>588</v>
      </c>
      <c r="B255" s="1" t="s">
        <v>485</v>
      </c>
      <c r="C255" s="1">
        <v>9</v>
      </c>
      <c r="D255" s="6">
        <v>87246</v>
      </c>
      <c r="E255" s="1" t="s">
        <v>236</v>
      </c>
      <c r="F255" s="1" t="str">
        <f t="shared" si="12"/>
        <v>C11</v>
      </c>
      <c r="G255" s="1" t="s">
        <v>237</v>
      </c>
      <c r="H255" s="1" t="s">
        <v>486</v>
      </c>
      <c r="I255" s="1">
        <v>2024</v>
      </c>
      <c r="J255" s="1" t="s">
        <v>554</v>
      </c>
      <c r="P255" s="1" t="s">
        <v>490</v>
      </c>
      <c r="Q255" s="1">
        <v>0</v>
      </c>
      <c r="R255" s="1">
        <v>15</v>
      </c>
      <c r="S255" s="1">
        <v>15</v>
      </c>
    </row>
    <row r="256" spans="1:20" ht="14.25" hidden="1" customHeight="1" x14ac:dyDescent="0.2">
      <c r="A256" s="1" t="s">
        <v>588</v>
      </c>
      <c r="B256" s="1" t="s">
        <v>485</v>
      </c>
      <c r="C256" s="1">
        <v>9</v>
      </c>
      <c r="D256" s="6">
        <v>87246</v>
      </c>
      <c r="E256" s="1" t="s">
        <v>245</v>
      </c>
      <c r="F256" s="1" t="str">
        <f t="shared" si="12"/>
        <v>C15</v>
      </c>
      <c r="G256" s="1" t="s">
        <v>246</v>
      </c>
      <c r="H256" s="1" t="s">
        <v>486</v>
      </c>
      <c r="I256" s="1">
        <v>2024</v>
      </c>
      <c r="J256" s="1" t="s">
        <v>554</v>
      </c>
      <c r="P256" s="1" t="s">
        <v>490</v>
      </c>
      <c r="Q256" s="1">
        <v>0</v>
      </c>
      <c r="R256" s="1">
        <v>3</v>
      </c>
      <c r="S256" s="1">
        <v>3</v>
      </c>
      <c r="T256" s="1" t="s">
        <v>587</v>
      </c>
    </row>
    <row r="257" spans="1:20" ht="14.25" hidden="1" customHeight="1" x14ac:dyDescent="0.2">
      <c r="A257" s="1" t="s">
        <v>588</v>
      </c>
      <c r="B257" s="1" t="s">
        <v>485</v>
      </c>
      <c r="C257" s="1">
        <v>9</v>
      </c>
      <c r="D257" s="6">
        <v>87246</v>
      </c>
      <c r="E257" s="1" t="s">
        <v>250</v>
      </c>
      <c r="F257" s="1" t="str">
        <f t="shared" ref="F257:F258" si="13">RIGHT(E257, LEN(E257) - 6)</f>
        <v>C17</v>
      </c>
      <c r="G257" s="1" t="s">
        <v>251</v>
      </c>
      <c r="H257" s="1" t="s">
        <v>486</v>
      </c>
      <c r="I257" s="1">
        <v>2024</v>
      </c>
      <c r="J257" s="1" t="s">
        <v>554</v>
      </c>
      <c r="P257" s="1" t="s">
        <v>490</v>
      </c>
      <c r="Q257" s="1">
        <v>0</v>
      </c>
      <c r="R257" s="1">
        <v>2</v>
      </c>
      <c r="S257" s="1">
        <v>2</v>
      </c>
      <c r="T257" s="1" t="s">
        <v>587</v>
      </c>
    </row>
    <row r="258" spans="1:20" ht="14.25" hidden="1" customHeight="1" x14ac:dyDescent="0.2">
      <c r="A258" s="1" t="s">
        <v>588</v>
      </c>
      <c r="B258" s="1" t="s">
        <v>485</v>
      </c>
      <c r="C258" s="1">
        <v>9</v>
      </c>
      <c r="D258" s="6">
        <v>87246</v>
      </c>
      <c r="E258" s="1" t="s">
        <v>252</v>
      </c>
      <c r="F258" s="1" t="str">
        <f t="shared" si="13"/>
        <v>C18</v>
      </c>
      <c r="G258" s="1" t="s">
        <v>253</v>
      </c>
      <c r="H258" s="1" t="s">
        <v>486</v>
      </c>
      <c r="I258" s="1">
        <v>2024</v>
      </c>
      <c r="J258" s="1" t="s">
        <v>554</v>
      </c>
      <c r="P258" s="1" t="s">
        <v>490</v>
      </c>
      <c r="Q258" s="1">
        <v>0</v>
      </c>
      <c r="R258" s="1">
        <v>1</v>
      </c>
      <c r="S258" s="1">
        <v>1</v>
      </c>
      <c r="T258" s="1" t="s">
        <v>587</v>
      </c>
    </row>
    <row r="259" spans="1:20" ht="14.25" hidden="1" customHeight="1" x14ac:dyDescent="0.2">
      <c r="A259" s="1" t="s">
        <v>76</v>
      </c>
      <c r="B259" s="1" t="s">
        <v>485</v>
      </c>
      <c r="C259" s="1">
        <v>9</v>
      </c>
      <c r="D259" s="6">
        <v>184192</v>
      </c>
      <c r="E259" s="1" t="s">
        <v>164</v>
      </c>
      <c r="F259" s="1" t="str">
        <f>RIGHT(E259, LEN(E259) - 6)</f>
        <v>A01</v>
      </c>
      <c r="G259" s="1" t="s">
        <v>165</v>
      </c>
      <c r="H259" s="1" t="s">
        <v>486</v>
      </c>
      <c r="I259" s="1">
        <v>2024</v>
      </c>
      <c r="J259" s="1" t="s">
        <v>519</v>
      </c>
      <c r="P259" s="1" t="s">
        <v>490</v>
      </c>
      <c r="Q259" s="1">
        <v>20</v>
      </c>
      <c r="R259" s="1">
        <v>20</v>
      </c>
      <c r="S259" s="1">
        <v>10</v>
      </c>
    </row>
    <row r="260" spans="1:20" ht="14.25" hidden="1" customHeight="1" x14ac:dyDescent="0.2">
      <c r="A260" s="1" t="s">
        <v>76</v>
      </c>
      <c r="B260" s="1" t="s">
        <v>485</v>
      </c>
      <c r="C260" s="1">
        <v>9</v>
      </c>
      <c r="D260" s="6">
        <v>184192</v>
      </c>
      <c r="E260" s="1" t="s">
        <v>169</v>
      </c>
      <c r="F260" s="1" t="str">
        <f>RIGHT(E260, LEN(E260) - 6)</f>
        <v>A03</v>
      </c>
      <c r="G260" s="1" t="s">
        <v>170</v>
      </c>
      <c r="H260" s="1" t="s">
        <v>486</v>
      </c>
      <c r="I260" s="1">
        <v>2024</v>
      </c>
      <c r="J260" s="1" t="s">
        <v>519</v>
      </c>
      <c r="P260" s="1" t="s">
        <v>490</v>
      </c>
      <c r="Q260" s="1">
        <v>4</v>
      </c>
      <c r="R260" s="1">
        <v>4</v>
      </c>
      <c r="S260" s="1">
        <v>3</v>
      </c>
    </row>
    <row r="261" spans="1:20" ht="14.25" hidden="1" customHeight="1" x14ac:dyDescent="0.2">
      <c r="A261" s="1" t="s">
        <v>76</v>
      </c>
      <c r="B261" s="1" t="s">
        <v>485</v>
      </c>
      <c r="C261" s="1">
        <v>9</v>
      </c>
      <c r="D261" s="6">
        <v>184192</v>
      </c>
      <c r="E261" s="1" t="s">
        <v>188</v>
      </c>
      <c r="F261" s="1" t="str">
        <f>RIGHT(E261, LEN(E261) - 6)</f>
        <v>B01</v>
      </c>
      <c r="G261" s="1" t="s">
        <v>189</v>
      </c>
      <c r="H261" s="1" t="s">
        <v>486</v>
      </c>
      <c r="I261" s="1">
        <v>2024</v>
      </c>
      <c r="J261" s="1" t="s">
        <v>519</v>
      </c>
      <c r="P261" s="1" t="s">
        <v>490</v>
      </c>
      <c r="Q261" s="1">
        <v>2</v>
      </c>
      <c r="R261" s="1">
        <v>2</v>
      </c>
      <c r="S261" s="1">
        <v>2</v>
      </c>
      <c r="T261" s="1">
        <v>2</v>
      </c>
    </row>
    <row r="262" spans="1:20" ht="14.25" hidden="1" customHeight="1" x14ac:dyDescent="0.2">
      <c r="A262" s="1" t="s">
        <v>76</v>
      </c>
      <c r="B262" s="1" t="s">
        <v>485</v>
      </c>
      <c r="C262" s="1">
        <v>9</v>
      </c>
      <c r="D262" s="6">
        <v>184192</v>
      </c>
      <c r="E262" s="1" t="s">
        <v>215</v>
      </c>
      <c r="F262" s="1" t="str">
        <f t="shared" ref="F262:F263" si="14">RIGHT(E262, LEN(E262) - 6)</f>
        <v>C01</v>
      </c>
      <c r="G262" s="1" t="s">
        <v>216</v>
      </c>
      <c r="H262" s="1" t="s">
        <v>486</v>
      </c>
      <c r="I262" s="1">
        <v>2024</v>
      </c>
      <c r="J262" s="1" t="s">
        <v>519</v>
      </c>
      <c r="P262" s="1" t="s">
        <v>490</v>
      </c>
      <c r="Q262" s="1">
        <v>2</v>
      </c>
      <c r="R262" s="1">
        <v>2</v>
      </c>
      <c r="S262" s="1">
        <v>2</v>
      </c>
    </row>
    <row r="263" spans="1:20" ht="14.25" customHeight="1" x14ac:dyDescent="0.2">
      <c r="A263" s="1" t="s">
        <v>76</v>
      </c>
      <c r="B263" s="1" t="s">
        <v>485</v>
      </c>
      <c r="C263" s="1">
        <v>9</v>
      </c>
      <c r="D263" s="6">
        <v>184192</v>
      </c>
      <c r="E263" s="1" t="s">
        <v>257</v>
      </c>
      <c r="F263" s="1" t="str">
        <f t="shared" si="14"/>
        <v>D01</v>
      </c>
      <c r="G263" s="1" t="s">
        <v>258</v>
      </c>
      <c r="H263" s="1" t="s">
        <v>486</v>
      </c>
      <c r="I263" s="1">
        <v>2024</v>
      </c>
      <c r="J263" s="1" t="s">
        <v>519</v>
      </c>
      <c r="P263" s="1" t="s">
        <v>490</v>
      </c>
      <c r="Q263" s="1">
        <v>20</v>
      </c>
      <c r="R263" s="1">
        <v>20</v>
      </c>
      <c r="S263" s="1">
        <v>10</v>
      </c>
    </row>
    <row r="264" spans="1:20" ht="14.25" hidden="1" customHeight="1" x14ac:dyDescent="0.2">
      <c r="A264" s="1" t="s">
        <v>78</v>
      </c>
      <c r="B264" s="1" t="s">
        <v>485</v>
      </c>
      <c r="C264" s="1">
        <v>9</v>
      </c>
      <c r="D264" s="6">
        <v>182846</v>
      </c>
      <c r="E264" s="1" t="s">
        <v>164</v>
      </c>
      <c r="F264" s="1" t="s">
        <v>343</v>
      </c>
      <c r="G264" s="1" t="s">
        <v>165</v>
      </c>
      <c r="H264" s="1" t="s">
        <v>486</v>
      </c>
      <c r="I264" s="1">
        <v>2024</v>
      </c>
      <c r="J264" s="1" t="s">
        <v>519</v>
      </c>
      <c r="K264" s="1" t="s">
        <v>488</v>
      </c>
      <c r="P264" s="1" t="s">
        <v>490</v>
      </c>
      <c r="Q264" s="1">
        <v>11</v>
      </c>
      <c r="R264" s="1">
        <v>11</v>
      </c>
      <c r="S264" s="1">
        <v>3</v>
      </c>
    </row>
    <row r="265" spans="1:20" ht="14.25" hidden="1" customHeight="1" x14ac:dyDescent="0.2">
      <c r="A265" s="1" t="s">
        <v>78</v>
      </c>
      <c r="B265" s="1" t="s">
        <v>485</v>
      </c>
      <c r="C265" s="1">
        <v>9</v>
      </c>
      <c r="D265" s="6">
        <v>182846</v>
      </c>
      <c r="E265" s="1" t="s">
        <v>188</v>
      </c>
      <c r="F265" s="1" t="s">
        <v>353</v>
      </c>
      <c r="G265" s="1" t="s">
        <v>189</v>
      </c>
      <c r="H265" s="1" t="s">
        <v>486</v>
      </c>
      <c r="I265" s="1">
        <v>2024</v>
      </c>
      <c r="J265" s="1" t="s">
        <v>519</v>
      </c>
      <c r="P265" s="1" t="s">
        <v>490</v>
      </c>
      <c r="Q265" s="1">
        <v>6</v>
      </c>
      <c r="R265" s="1">
        <v>6</v>
      </c>
      <c r="S265" s="1">
        <v>3</v>
      </c>
      <c r="T265" s="1" t="s">
        <v>589</v>
      </c>
    </row>
    <row r="266" spans="1:20" ht="14.25" hidden="1" customHeight="1" x14ac:dyDescent="0.2">
      <c r="A266" s="1" t="s">
        <v>78</v>
      </c>
      <c r="B266" s="1" t="s">
        <v>485</v>
      </c>
      <c r="C266" s="1">
        <v>9</v>
      </c>
      <c r="D266" s="6">
        <v>182846</v>
      </c>
      <c r="E266" s="1" t="s">
        <v>215</v>
      </c>
      <c r="F266" s="1" t="s">
        <v>365</v>
      </c>
      <c r="G266" s="1" t="s">
        <v>216</v>
      </c>
      <c r="H266" s="1" t="s">
        <v>486</v>
      </c>
      <c r="I266" s="1">
        <v>2024</v>
      </c>
      <c r="J266" s="1" t="s">
        <v>519</v>
      </c>
      <c r="P266" s="1" t="s">
        <v>490</v>
      </c>
      <c r="Q266" s="1">
        <v>19</v>
      </c>
      <c r="R266" s="1">
        <v>19</v>
      </c>
      <c r="S266" s="1">
        <v>19</v>
      </c>
    </row>
    <row r="267" spans="1:20" ht="14.25" hidden="1" customHeight="1" x14ac:dyDescent="0.2">
      <c r="A267" s="1" t="s">
        <v>78</v>
      </c>
      <c r="B267" s="1" t="s">
        <v>485</v>
      </c>
      <c r="C267" s="1">
        <v>9</v>
      </c>
      <c r="D267" s="6">
        <v>182846</v>
      </c>
      <c r="E267" s="1" t="s">
        <v>217</v>
      </c>
      <c r="F267" s="1" t="str">
        <f>RIGHT(E267, LEN(E267) - 6)</f>
        <v>C02</v>
      </c>
      <c r="G267" s="1" t="s">
        <v>218</v>
      </c>
      <c r="H267" s="1" t="s">
        <v>486</v>
      </c>
      <c r="I267" s="1">
        <v>2024</v>
      </c>
      <c r="J267" s="1" t="s">
        <v>519</v>
      </c>
      <c r="P267" s="1" t="s">
        <v>490</v>
      </c>
      <c r="Q267" s="1">
        <v>14</v>
      </c>
      <c r="R267" s="1">
        <v>14</v>
      </c>
      <c r="S267" s="1">
        <v>10</v>
      </c>
    </row>
    <row r="268" spans="1:20" ht="14.25" customHeight="1" x14ac:dyDescent="0.2">
      <c r="A268" s="1" t="s">
        <v>78</v>
      </c>
      <c r="B268" s="1" t="s">
        <v>485</v>
      </c>
      <c r="C268" s="1">
        <v>9</v>
      </c>
      <c r="D268" s="6">
        <v>182846</v>
      </c>
      <c r="E268" s="1" t="s">
        <v>257</v>
      </c>
      <c r="F268" s="1" t="str">
        <f t="shared" ref="F268" si="15">RIGHT(E268, LEN(E268) - 6)</f>
        <v>D01</v>
      </c>
      <c r="G268" s="1" t="s">
        <v>258</v>
      </c>
      <c r="H268" s="1" t="s">
        <v>486</v>
      </c>
      <c r="I268" s="1">
        <v>2024</v>
      </c>
      <c r="J268" s="1" t="s">
        <v>519</v>
      </c>
      <c r="P268" s="1" t="s">
        <v>490</v>
      </c>
      <c r="Q268" s="1">
        <v>500</v>
      </c>
      <c r="R268" s="1">
        <v>500</v>
      </c>
      <c r="S268" s="1">
        <v>500</v>
      </c>
    </row>
    <row r="269" spans="1:20" ht="14.25" hidden="1" customHeight="1" x14ac:dyDescent="0.2">
      <c r="A269" s="1" t="s">
        <v>82</v>
      </c>
      <c r="B269" s="1" t="s">
        <v>485</v>
      </c>
      <c r="C269" s="1">
        <v>9</v>
      </c>
      <c r="D269" s="6">
        <v>207681</v>
      </c>
      <c r="E269" s="1" t="s">
        <v>164</v>
      </c>
      <c r="F269" s="1" t="str">
        <f>RIGHT(E269, LEN(E269) - 6)</f>
        <v>A01</v>
      </c>
      <c r="G269" s="1" t="s">
        <v>165</v>
      </c>
      <c r="H269" s="1" t="s">
        <v>486</v>
      </c>
      <c r="I269" s="1">
        <v>2024</v>
      </c>
      <c r="J269" s="1" t="s">
        <v>529</v>
      </c>
      <c r="K269" s="1" t="s">
        <v>488</v>
      </c>
      <c r="P269" s="1" t="s">
        <v>490</v>
      </c>
      <c r="Q269" s="1">
        <v>2</v>
      </c>
      <c r="R269" s="1">
        <v>2</v>
      </c>
      <c r="S269" s="1">
        <v>2</v>
      </c>
    </row>
    <row r="270" spans="1:20" ht="14.25" hidden="1" customHeight="1" x14ac:dyDescent="0.2">
      <c r="A270" s="1" t="s">
        <v>82</v>
      </c>
      <c r="B270" s="1" t="s">
        <v>485</v>
      </c>
      <c r="C270" s="1">
        <v>9</v>
      </c>
      <c r="D270" s="6">
        <v>207681</v>
      </c>
      <c r="E270" s="1" t="s">
        <v>169</v>
      </c>
      <c r="F270" s="1" t="str">
        <f>RIGHT(E270, LEN(E270) - 6)</f>
        <v>A03</v>
      </c>
      <c r="G270" s="1" t="s">
        <v>170</v>
      </c>
      <c r="H270" s="1" t="s">
        <v>486</v>
      </c>
      <c r="I270" s="1">
        <v>2024</v>
      </c>
      <c r="J270" s="1" t="s">
        <v>529</v>
      </c>
      <c r="P270" s="1" t="s">
        <v>490</v>
      </c>
      <c r="Q270" s="1">
        <v>1</v>
      </c>
      <c r="R270" s="1">
        <v>1</v>
      </c>
      <c r="S270" s="1">
        <v>1</v>
      </c>
    </row>
    <row r="271" spans="1:20" ht="14.25" hidden="1" customHeight="1" x14ac:dyDescent="0.2">
      <c r="A271" s="1" t="s">
        <v>82</v>
      </c>
      <c r="B271" s="1" t="s">
        <v>485</v>
      </c>
      <c r="C271" s="1">
        <v>9</v>
      </c>
      <c r="D271" s="6">
        <v>207681</v>
      </c>
      <c r="E271" s="1" t="s">
        <v>188</v>
      </c>
      <c r="F271" s="1" t="str">
        <f>RIGHT(E271, LEN(E271) - 6)</f>
        <v>B01</v>
      </c>
      <c r="G271" s="1" t="s">
        <v>189</v>
      </c>
      <c r="H271" s="1" t="s">
        <v>486</v>
      </c>
      <c r="I271" s="1">
        <v>2024</v>
      </c>
      <c r="J271" s="1" t="s">
        <v>529</v>
      </c>
      <c r="P271" s="1" t="s">
        <v>490</v>
      </c>
      <c r="Q271" s="1">
        <v>0</v>
      </c>
      <c r="R271" s="1">
        <v>0</v>
      </c>
      <c r="S271" s="1">
        <v>1</v>
      </c>
      <c r="T271" s="1" t="s">
        <v>590</v>
      </c>
    </row>
    <row r="272" spans="1:20" ht="14.25" hidden="1" customHeight="1" x14ac:dyDescent="0.2">
      <c r="A272" s="1" t="s">
        <v>82</v>
      </c>
      <c r="B272" s="1" t="s">
        <v>485</v>
      </c>
      <c r="C272" s="1">
        <v>9</v>
      </c>
      <c r="D272" s="6">
        <v>207681</v>
      </c>
      <c r="E272" s="1" t="s">
        <v>190</v>
      </c>
      <c r="F272" s="1" t="str">
        <f t="shared" ref="F272" si="16">RIGHT(E272, LEN(E272) - 6)</f>
        <v>B02</v>
      </c>
      <c r="G272" s="1" t="s">
        <v>498</v>
      </c>
      <c r="H272" s="1" t="s">
        <v>486</v>
      </c>
      <c r="I272" s="1">
        <v>2024</v>
      </c>
      <c r="J272" s="1" t="s">
        <v>529</v>
      </c>
      <c r="P272" s="1" t="s">
        <v>490</v>
      </c>
      <c r="Q272" s="1">
        <v>1</v>
      </c>
      <c r="R272" s="1">
        <v>1</v>
      </c>
      <c r="S272" s="1">
        <v>1</v>
      </c>
    </row>
    <row r="273" spans="1:20" ht="14.25" hidden="1" customHeight="1" x14ac:dyDescent="0.2">
      <c r="A273" s="1" t="s">
        <v>82</v>
      </c>
      <c r="B273" s="1" t="s">
        <v>485</v>
      </c>
      <c r="C273" s="1">
        <v>9</v>
      </c>
      <c r="D273" s="6">
        <v>207681</v>
      </c>
      <c r="E273" s="1" t="s">
        <v>245</v>
      </c>
      <c r="F273" s="1" t="str">
        <f>RIGHT(E273, LEN(E273) - 6)</f>
        <v>C15</v>
      </c>
      <c r="G273" s="1" t="s">
        <v>246</v>
      </c>
      <c r="H273" s="1" t="s">
        <v>486</v>
      </c>
      <c r="I273" s="1">
        <v>2024</v>
      </c>
      <c r="J273" s="1" t="s">
        <v>529</v>
      </c>
      <c r="P273" s="1" t="s">
        <v>490</v>
      </c>
      <c r="Q273" s="1">
        <v>28</v>
      </c>
      <c r="R273" s="1">
        <v>43</v>
      </c>
      <c r="S273" s="1">
        <v>8</v>
      </c>
    </row>
    <row r="274" spans="1:20" ht="14.25" hidden="1" customHeight="1" x14ac:dyDescent="0.2">
      <c r="A274" s="1" t="s">
        <v>82</v>
      </c>
      <c r="B274" s="1" t="s">
        <v>485</v>
      </c>
      <c r="C274" s="1">
        <v>9</v>
      </c>
      <c r="D274" s="6">
        <v>207681</v>
      </c>
      <c r="E274" s="1" t="s">
        <v>250</v>
      </c>
      <c r="F274" s="1" t="str">
        <f t="shared" ref="F274:F276" si="17">RIGHT(E274, LEN(E274) - 6)</f>
        <v>C17</v>
      </c>
      <c r="G274" s="1" t="s">
        <v>251</v>
      </c>
      <c r="H274" s="1" t="s">
        <v>486</v>
      </c>
      <c r="I274" s="1">
        <v>2024</v>
      </c>
      <c r="J274" s="1" t="s">
        <v>529</v>
      </c>
      <c r="P274" s="1" t="s">
        <v>490</v>
      </c>
      <c r="Q274" s="1">
        <v>4</v>
      </c>
      <c r="R274" s="1">
        <v>4</v>
      </c>
      <c r="S274" s="1">
        <v>2</v>
      </c>
    </row>
    <row r="275" spans="1:20" ht="14.25" hidden="1" customHeight="1" x14ac:dyDescent="0.2">
      <c r="A275" s="1" t="s">
        <v>82</v>
      </c>
      <c r="B275" s="1" t="s">
        <v>485</v>
      </c>
      <c r="C275" s="1">
        <v>9</v>
      </c>
      <c r="D275" s="6">
        <v>207681</v>
      </c>
      <c r="E275" s="1" t="s">
        <v>252</v>
      </c>
      <c r="F275" s="1" t="str">
        <f t="shared" si="17"/>
        <v>C18</v>
      </c>
      <c r="G275" s="1" t="s">
        <v>253</v>
      </c>
      <c r="H275" s="1" t="s">
        <v>486</v>
      </c>
      <c r="I275" s="1">
        <v>2024</v>
      </c>
      <c r="J275" s="1" t="s">
        <v>529</v>
      </c>
      <c r="P275" s="1" t="s">
        <v>490</v>
      </c>
      <c r="Q275" s="1">
        <v>3</v>
      </c>
      <c r="R275" s="1">
        <v>3</v>
      </c>
      <c r="S275" s="1">
        <v>2</v>
      </c>
    </row>
    <row r="276" spans="1:20" ht="14.25" customHeight="1" x14ac:dyDescent="0.2">
      <c r="A276" s="1" t="s">
        <v>82</v>
      </c>
      <c r="B276" s="1" t="s">
        <v>485</v>
      </c>
      <c r="C276" s="1">
        <v>9</v>
      </c>
      <c r="D276" s="6">
        <v>207681</v>
      </c>
      <c r="E276" s="1" t="s">
        <v>257</v>
      </c>
      <c r="F276" s="1" t="str">
        <f t="shared" si="17"/>
        <v>D01</v>
      </c>
      <c r="G276" s="1" t="s">
        <v>258</v>
      </c>
      <c r="H276" s="1" t="s">
        <v>486</v>
      </c>
      <c r="I276" s="1">
        <v>2024</v>
      </c>
      <c r="J276" s="1" t="s">
        <v>529</v>
      </c>
      <c r="P276" s="1" t="s">
        <v>490</v>
      </c>
      <c r="Q276" s="1">
        <v>0</v>
      </c>
      <c r="R276" s="1">
        <v>0</v>
      </c>
      <c r="S276" s="1">
        <v>0</v>
      </c>
      <c r="T276" s="1" t="s">
        <v>591</v>
      </c>
    </row>
    <row r="277" spans="1:20" ht="14.25" hidden="1" customHeight="1" x14ac:dyDescent="0.2">
      <c r="A277" s="1" t="s">
        <v>84</v>
      </c>
      <c r="B277" s="1" t="s">
        <v>485</v>
      </c>
      <c r="C277" s="1">
        <v>9</v>
      </c>
      <c r="D277" s="6">
        <v>342150</v>
      </c>
      <c r="E277" s="1" t="s">
        <v>188</v>
      </c>
      <c r="F277" s="1" t="s">
        <v>353</v>
      </c>
      <c r="G277" s="1" t="s">
        <v>189</v>
      </c>
      <c r="H277" s="1" t="s">
        <v>486</v>
      </c>
      <c r="I277" s="1">
        <v>2024</v>
      </c>
      <c r="J277" s="1" t="s">
        <v>592</v>
      </c>
      <c r="P277" s="1" t="s">
        <v>490</v>
      </c>
      <c r="Q277" s="1">
        <v>3</v>
      </c>
      <c r="R277" s="1">
        <v>3</v>
      </c>
      <c r="S277" s="1">
        <v>3</v>
      </c>
    </row>
    <row r="278" spans="1:20" ht="14.25" hidden="1" customHeight="1" x14ac:dyDescent="0.2">
      <c r="A278" s="1" t="s">
        <v>84</v>
      </c>
      <c r="B278" s="1" t="s">
        <v>485</v>
      </c>
      <c r="C278" s="1">
        <v>9</v>
      </c>
      <c r="D278" s="6">
        <v>342150</v>
      </c>
      <c r="E278" s="1" t="s">
        <v>215</v>
      </c>
      <c r="F278" s="1" t="s">
        <v>365</v>
      </c>
      <c r="G278" s="1" t="s">
        <v>216</v>
      </c>
      <c r="H278" s="1" t="s">
        <v>486</v>
      </c>
      <c r="I278" s="1">
        <v>2024</v>
      </c>
      <c r="J278" s="1" t="s">
        <v>592</v>
      </c>
      <c r="P278" s="1" t="s">
        <v>490</v>
      </c>
      <c r="Q278" s="1">
        <v>1</v>
      </c>
      <c r="R278" s="1">
        <v>1</v>
      </c>
      <c r="S278" s="1">
        <v>1</v>
      </c>
    </row>
    <row r="279" spans="1:20" ht="14.25" hidden="1" customHeight="1" x14ac:dyDescent="0.2">
      <c r="A279" s="1" t="s">
        <v>84</v>
      </c>
      <c r="B279" s="1" t="s">
        <v>485</v>
      </c>
      <c r="C279" s="1">
        <v>9</v>
      </c>
      <c r="D279" s="6">
        <v>342150</v>
      </c>
      <c r="E279" s="1" t="s">
        <v>236</v>
      </c>
      <c r="F279" s="1" t="str">
        <f>RIGHT(E279, LEN(E279) - 6)</f>
        <v>C11</v>
      </c>
      <c r="G279" s="1" t="s">
        <v>237</v>
      </c>
      <c r="H279" s="1" t="s">
        <v>486</v>
      </c>
      <c r="I279" s="1">
        <v>2024</v>
      </c>
      <c r="J279" s="1" t="s">
        <v>592</v>
      </c>
      <c r="P279" s="1" t="s">
        <v>490</v>
      </c>
      <c r="Q279" s="1">
        <v>2500</v>
      </c>
      <c r="R279" s="1">
        <v>2500</v>
      </c>
      <c r="S279" s="1">
        <v>2500</v>
      </c>
    </row>
    <row r="280" spans="1:20" ht="14.25" hidden="1" customHeight="1" x14ac:dyDescent="0.2">
      <c r="A280" s="1" t="s">
        <v>84</v>
      </c>
      <c r="B280" s="1" t="s">
        <v>485</v>
      </c>
      <c r="C280" s="1">
        <v>9</v>
      </c>
      <c r="D280" s="6">
        <v>342150</v>
      </c>
      <c r="E280" s="1" t="s">
        <v>243</v>
      </c>
      <c r="F280" s="1" t="str">
        <f t="shared" ref="F280:F282" si="18">RIGHT(E280, LEN(E280) - 6)</f>
        <v>C14</v>
      </c>
      <c r="G280" s="1" t="s">
        <v>244</v>
      </c>
      <c r="H280" s="1" t="s">
        <v>486</v>
      </c>
      <c r="I280" s="1">
        <v>2024</v>
      </c>
      <c r="J280" s="1" t="s">
        <v>592</v>
      </c>
      <c r="K280" s="1" t="s">
        <v>488</v>
      </c>
      <c r="P280" s="1" t="s">
        <v>490</v>
      </c>
      <c r="Q280" s="1">
        <f>47+13+3+23+16</f>
        <v>102</v>
      </c>
      <c r="R280" s="1">
        <f t="shared" ref="R280:S280" si="19">47+13+3+23+16</f>
        <v>102</v>
      </c>
      <c r="S280" s="1">
        <f t="shared" si="19"/>
        <v>102</v>
      </c>
      <c r="T280" s="1" t="s">
        <v>593</v>
      </c>
    </row>
    <row r="281" spans="1:20" ht="14.25" hidden="1" customHeight="1" x14ac:dyDescent="0.2">
      <c r="A281" s="1" t="s">
        <v>84</v>
      </c>
      <c r="B281" s="1" t="s">
        <v>485</v>
      </c>
      <c r="C281" s="1">
        <v>9</v>
      </c>
      <c r="D281" s="6">
        <v>342150</v>
      </c>
      <c r="E281" s="1" t="s">
        <v>243</v>
      </c>
      <c r="F281" s="1" t="str">
        <f t="shared" si="18"/>
        <v>C14</v>
      </c>
      <c r="G281" s="1" t="s">
        <v>244</v>
      </c>
      <c r="H281" s="1" t="s">
        <v>486</v>
      </c>
      <c r="I281" s="1">
        <v>2024</v>
      </c>
      <c r="J281" s="1" t="s">
        <v>592</v>
      </c>
      <c r="K281" s="1" t="s">
        <v>491</v>
      </c>
      <c r="P281" s="1" t="s">
        <v>490</v>
      </c>
      <c r="Q281" s="1">
        <f>45+10+14+50+20</f>
        <v>139</v>
      </c>
      <c r="R281" s="1">
        <f t="shared" ref="R281:S281" si="20">45+10+14+50+20</f>
        <v>139</v>
      </c>
      <c r="S281" s="1">
        <f t="shared" si="20"/>
        <v>139</v>
      </c>
      <c r="T281" s="1" t="s">
        <v>593</v>
      </c>
    </row>
    <row r="282" spans="1:20" ht="14.25" hidden="1" customHeight="1" x14ac:dyDescent="0.2">
      <c r="A282" s="1" t="s">
        <v>84</v>
      </c>
      <c r="B282" s="1" t="s">
        <v>485</v>
      </c>
      <c r="C282" s="1">
        <v>9</v>
      </c>
      <c r="D282" s="6">
        <v>342150</v>
      </c>
      <c r="E282" s="1" t="s">
        <v>263</v>
      </c>
      <c r="F282" s="1" t="str">
        <f t="shared" si="18"/>
        <v>D04</v>
      </c>
      <c r="G282" s="1" t="s">
        <v>520</v>
      </c>
      <c r="H282" s="1" t="s">
        <v>486</v>
      </c>
      <c r="I282" s="1">
        <v>2024</v>
      </c>
      <c r="J282" s="1" t="s">
        <v>592</v>
      </c>
      <c r="P282" s="1" t="s">
        <v>490</v>
      </c>
      <c r="Q282" s="1">
        <v>0</v>
      </c>
      <c r="R282" s="1">
        <v>0</v>
      </c>
      <c r="S282" s="1">
        <v>0</v>
      </c>
      <c r="T282" s="1" t="s">
        <v>594</v>
      </c>
    </row>
    <row r="283" spans="1:20" ht="14.25" hidden="1" customHeight="1" x14ac:dyDescent="0.2">
      <c r="A283" s="1" t="s">
        <v>90</v>
      </c>
      <c r="B283" s="1" t="s">
        <v>485</v>
      </c>
      <c r="C283" s="1">
        <v>9</v>
      </c>
      <c r="D283" s="6">
        <v>323780</v>
      </c>
      <c r="E283" s="1" t="s">
        <v>169</v>
      </c>
      <c r="F283" s="1" t="str">
        <f>RIGHT(E283, LEN(E283) - 6)</f>
        <v>A03</v>
      </c>
      <c r="G283" s="1" t="s">
        <v>170</v>
      </c>
      <c r="H283" s="1" t="s">
        <v>486</v>
      </c>
      <c r="I283" s="1">
        <v>2024</v>
      </c>
      <c r="J283" s="1" t="s">
        <v>595</v>
      </c>
      <c r="P283" s="1" t="s">
        <v>490</v>
      </c>
      <c r="Q283" s="1">
        <v>0</v>
      </c>
      <c r="R283" s="1">
        <v>0</v>
      </c>
      <c r="S283" s="1">
        <v>2</v>
      </c>
    </row>
    <row r="284" spans="1:20" ht="14.25" hidden="1" customHeight="1" x14ac:dyDescent="0.2">
      <c r="A284" s="1" t="s">
        <v>90</v>
      </c>
      <c r="B284" s="1" t="s">
        <v>485</v>
      </c>
      <c r="C284" s="1">
        <v>9</v>
      </c>
      <c r="D284" s="6">
        <v>323780</v>
      </c>
      <c r="E284" s="1" t="s">
        <v>215</v>
      </c>
      <c r="F284" s="1" t="str">
        <f t="shared" ref="F284:F285" si="21">RIGHT(E284, LEN(E284) - 6)</f>
        <v>C01</v>
      </c>
      <c r="G284" s="1" t="s">
        <v>216</v>
      </c>
      <c r="H284" s="1" t="s">
        <v>486</v>
      </c>
      <c r="I284" s="1">
        <v>2024</v>
      </c>
      <c r="J284" s="1" t="s">
        <v>595</v>
      </c>
      <c r="P284" s="1" t="s">
        <v>490</v>
      </c>
      <c r="Q284" s="1">
        <v>1</v>
      </c>
      <c r="R284" s="1">
        <v>2</v>
      </c>
      <c r="S284" s="1">
        <v>2</v>
      </c>
    </row>
    <row r="285" spans="1:20" ht="14.25" hidden="1" customHeight="1" x14ac:dyDescent="0.2">
      <c r="A285" s="1" t="s">
        <v>90</v>
      </c>
      <c r="B285" s="1" t="s">
        <v>485</v>
      </c>
      <c r="C285" s="1">
        <v>9</v>
      </c>
      <c r="D285" s="6">
        <v>323780</v>
      </c>
      <c r="E285" s="1" t="s">
        <v>190</v>
      </c>
      <c r="F285" s="1" t="str">
        <f t="shared" si="21"/>
        <v>B02</v>
      </c>
      <c r="G285" s="1" t="s">
        <v>498</v>
      </c>
      <c r="H285" s="1" t="s">
        <v>486</v>
      </c>
      <c r="I285" s="1">
        <v>2024</v>
      </c>
      <c r="J285" s="1" t="s">
        <v>595</v>
      </c>
      <c r="P285" s="1" t="s">
        <v>490</v>
      </c>
      <c r="Q285" s="1">
        <v>1</v>
      </c>
      <c r="R285" s="1">
        <v>1</v>
      </c>
      <c r="S285" s="1">
        <v>1</v>
      </c>
      <c r="T285" s="1" t="s">
        <v>596</v>
      </c>
    </row>
    <row r="286" spans="1:20" ht="14.25" hidden="1" customHeight="1" x14ac:dyDescent="0.2">
      <c r="A286" s="1" t="s">
        <v>90</v>
      </c>
      <c r="B286" s="1" t="s">
        <v>485</v>
      </c>
      <c r="C286" s="1">
        <v>9</v>
      </c>
      <c r="D286" s="6">
        <v>323780</v>
      </c>
      <c r="E286" s="1" t="s">
        <v>261</v>
      </c>
      <c r="F286" s="1" t="str">
        <f t="shared" ref="F286:F287" si="22">RIGHT(E286, LEN(E286) - 6)</f>
        <v>D03</v>
      </c>
      <c r="G286" s="1" t="s">
        <v>532</v>
      </c>
      <c r="H286" s="1" t="s">
        <v>486</v>
      </c>
      <c r="I286" s="1">
        <v>2024</v>
      </c>
      <c r="J286" s="1" t="s">
        <v>595</v>
      </c>
      <c r="P286" s="1" t="s">
        <v>490</v>
      </c>
      <c r="Q286" s="1">
        <v>1</v>
      </c>
      <c r="R286" s="1">
        <v>1</v>
      </c>
      <c r="S286" s="1">
        <v>1</v>
      </c>
      <c r="T286" s="1" t="s">
        <v>596</v>
      </c>
    </row>
    <row r="287" spans="1:20" ht="14.25" hidden="1" customHeight="1" x14ac:dyDescent="0.2">
      <c r="A287" s="1" t="s">
        <v>90</v>
      </c>
      <c r="B287" s="1" t="s">
        <v>485</v>
      </c>
      <c r="C287" s="1">
        <v>9</v>
      </c>
      <c r="D287" s="6">
        <v>323780</v>
      </c>
      <c r="E287" s="1" t="s">
        <v>250</v>
      </c>
      <c r="F287" s="1" t="str">
        <f t="shared" si="22"/>
        <v>C17</v>
      </c>
      <c r="G287" s="1" t="s">
        <v>251</v>
      </c>
      <c r="H287" s="1" t="s">
        <v>486</v>
      </c>
      <c r="I287" s="1">
        <v>2024</v>
      </c>
      <c r="J287" s="1" t="s">
        <v>595</v>
      </c>
      <c r="P287" s="1" t="s">
        <v>490</v>
      </c>
      <c r="Q287" s="1">
        <v>794</v>
      </c>
      <c r="R287" s="1">
        <f>794+465+329</f>
        <v>1588</v>
      </c>
      <c r="S287" s="1">
        <v>1000</v>
      </c>
    </row>
    <row r="288" spans="1:20" ht="14.25" hidden="1" customHeight="1" x14ac:dyDescent="0.2">
      <c r="A288" s="1" t="s">
        <v>94</v>
      </c>
      <c r="B288" s="1" t="s">
        <v>485</v>
      </c>
      <c r="C288" s="1">
        <v>9</v>
      </c>
      <c r="D288" s="6">
        <v>316882</v>
      </c>
      <c r="E288" s="1" t="s">
        <v>164</v>
      </c>
      <c r="F288" s="1" t="str">
        <f t="shared" ref="F288:F294" si="23">RIGHT(E288, LEN(E288) - 6)</f>
        <v>A01</v>
      </c>
      <c r="G288" s="1" t="s">
        <v>165</v>
      </c>
      <c r="H288" s="1" t="s">
        <v>486</v>
      </c>
      <c r="I288" s="1">
        <v>2024</v>
      </c>
      <c r="K288" s="1" t="s">
        <v>491</v>
      </c>
      <c r="P288" s="1" t="s">
        <v>490</v>
      </c>
      <c r="Q288" s="1">
        <v>20</v>
      </c>
      <c r="R288" s="1">
        <v>20</v>
      </c>
      <c r="S288" s="1">
        <v>60</v>
      </c>
      <c r="T288" s="1" t="s">
        <v>597</v>
      </c>
    </row>
    <row r="289" spans="1:20" ht="14.25" hidden="1" customHeight="1" x14ac:dyDescent="0.2">
      <c r="A289" s="1" t="s">
        <v>94</v>
      </c>
      <c r="B289" s="1" t="s">
        <v>485</v>
      </c>
      <c r="C289" s="1">
        <v>9</v>
      </c>
      <c r="D289" s="6">
        <v>316882</v>
      </c>
      <c r="E289" s="1" t="s">
        <v>250</v>
      </c>
      <c r="F289" s="1" t="str">
        <f t="shared" si="23"/>
        <v>C17</v>
      </c>
      <c r="G289" s="1" t="s">
        <v>251</v>
      </c>
      <c r="H289" s="1" t="s">
        <v>486</v>
      </c>
      <c r="I289" s="1">
        <v>2024</v>
      </c>
      <c r="P289" s="1" t="s">
        <v>490</v>
      </c>
      <c r="Q289" s="1">
        <v>1</v>
      </c>
      <c r="R289" s="1">
        <v>1</v>
      </c>
      <c r="S289" s="1">
        <v>4</v>
      </c>
      <c r="T289" s="1" t="s">
        <v>597</v>
      </c>
    </row>
    <row r="290" spans="1:20" ht="14.25" hidden="1" customHeight="1" x14ac:dyDescent="0.2">
      <c r="A290" s="1" t="s">
        <v>96</v>
      </c>
      <c r="B290" s="1" t="s">
        <v>485</v>
      </c>
      <c r="C290" s="1">
        <v>9</v>
      </c>
      <c r="D290" s="6">
        <v>469653</v>
      </c>
      <c r="E290" s="1" t="s">
        <v>164</v>
      </c>
      <c r="F290" s="1" t="str">
        <f t="shared" si="23"/>
        <v>A01</v>
      </c>
      <c r="G290" s="1" t="s">
        <v>165</v>
      </c>
      <c r="H290" s="1" t="s">
        <v>486</v>
      </c>
      <c r="I290" s="1">
        <v>2024</v>
      </c>
      <c r="J290" s="1" t="s">
        <v>554</v>
      </c>
      <c r="P290" s="1" t="s">
        <v>490</v>
      </c>
      <c r="Q290" s="1">
        <v>4</v>
      </c>
      <c r="R290" s="1">
        <v>10</v>
      </c>
      <c r="S290" s="1">
        <v>6</v>
      </c>
    </row>
    <row r="291" spans="1:20" ht="14.25" hidden="1" customHeight="1" x14ac:dyDescent="0.2">
      <c r="A291" s="1" t="s">
        <v>96</v>
      </c>
      <c r="B291" s="1" t="s">
        <v>485</v>
      </c>
      <c r="C291" s="1">
        <v>9</v>
      </c>
      <c r="D291" s="6">
        <v>469653</v>
      </c>
      <c r="E291" s="1" t="s">
        <v>215</v>
      </c>
      <c r="F291" s="1" t="str">
        <f t="shared" si="23"/>
        <v>C01</v>
      </c>
      <c r="G291" s="1" t="s">
        <v>216</v>
      </c>
      <c r="H291" s="1" t="s">
        <v>486</v>
      </c>
      <c r="I291" s="1">
        <v>2024</v>
      </c>
      <c r="J291" s="1" t="s">
        <v>554</v>
      </c>
      <c r="P291" s="1" t="s">
        <v>490</v>
      </c>
      <c r="Q291" s="1">
        <v>6</v>
      </c>
      <c r="R291" s="1">
        <v>6</v>
      </c>
      <c r="S291" s="1">
        <v>6</v>
      </c>
    </row>
    <row r="292" spans="1:20" ht="14.25" hidden="1" customHeight="1" x14ac:dyDescent="0.2">
      <c r="A292" s="1" t="s">
        <v>96</v>
      </c>
      <c r="B292" s="1" t="s">
        <v>485</v>
      </c>
      <c r="C292" s="1">
        <v>9</v>
      </c>
      <c r="D292" s="6">
        <v>469653</v>
      </c>
      <c r="E292" s="1" t="s">
        <v>223</v>
      </c>
      <c r="F292" s="1" t="str">
        <f t="shared" si="23"/>
        <v>C05</v>
      </c>
      <c r="G292" s="1" t="s">
        <v>224</v>
      </c>
      <c r="H292" s="1" t="s">
        <v>486</v>
      </c>
      <c r="I292" s="1">
        <v>2024</v>
      </c>
      <c r="J292" s="1" t="s">
        <v>554</v>
      </c>
      <c r="P292" s="1" t="s">
        <v>490</v>
      </c>
      <c r="Q292" s="1">
        <v>3</v>
      </c>
      <c r="R292" s="1">
        <v>6</v>
      </c>
      <c r="S292" s="1">
        <v>6</v>
      </c>
    </row>
    <row r="293" spans="1:20" ht="14.25" hidden="1" customHeight="1" x14ac:dyDescent="0.2">
      <c r="A293" s="1" t="s">
        <v>96</v>
      </c>
      <c r="B293" s="1" t="s">
        <v>485</v>
      </c>
      <c r="C293" s="1">
        <v>9</v>
      </c>
      <c r="D293" s="6">
        <v>469653</v>
      </c>
      <c r="E293" s="1" t="s">
        <v>250</v>
      </c>
      <c r="F293" s="1" t="str">
        <f t="shared" si="23"/>
        <v>C17</v>
      </c>
      <c r="G293" s="1" t="s">
        <v>251</v>
      </c>
      <c r="H293" s="1" t="s">
        <v>486</v>
      </c>
      <c r="I293" s="1">
        <v>2024</v>
      </c>
      <c r="J293" s="1" t="s">
        <v>554</v>
      </c>
      <c r="P293" s="1" t="s">
        <v>490</v>
      </c>
      <c r="Q293" s="1">
        <v>0</v>
      </c>
      <c r="R293" s="1">
        <v>1</v>
      </c>
      <c r="S293" s="1">
        <v>3</v>
      </c>
    </row>
    <row r="294" spans="1:20" ht="14.25" hidden="1" customHeight="1" x14ac:dyDescent="0.2">
      <c r="A294" s="1" t="s">
        <v>96</v>
      </c>
      <c r="B294" s="1" t="s">
        <v>485</v>
      </c>
      <c r="C294" s="1">
        <v>9</v>
      </c>
      <c r="D294" s="6">
        <v>469653</v>
      </c>
      <c r="E294" s="1" t="s">
        <v>188</v>
      </c>
      <c r="F294" s="1" t="str">
        <f t="shared" si="23"/>
        <v>B01</v>
      </c>
      <c r="G294" s="1" t="s">
        <v>189</v>
      </c>
      <c r="H294" s="1" t="s">
        <v>486</v>
      </c>
      <c r="I294" s="1">
        <v>2024</v>
      </c>
      <c r="J294" s="1" t="s">
        <v>554</v>
      </c>
      <c r="P294" s="1" t="s">
        <v>490</v>
      </c>
      <c r="Q294" s="1">
        <v>0</v>
      </c>
      <c r="R294" s="1">
        <v>0</v>
      </c>
      <c r="S294" s="1">
        <v>1</v>
      </c>
    </row>
    <row r="295" spans="1:20" ht="14.25" hidden="1" customHeight="1" x14ac:dyDescent="0.2">
      <c r="A295" s="1" t="s">
        <v>98</v>
      </c>
      <c r="B295" s="1" t="s">
        <v>485</v>
      </c>
      <c r="C295" s="1">
        <v>9</v>
      </c>
      <c r="D295" s="6">
        <v>355190</v>
      </c>
      <c r="E295" s="1" t="s">
        <v>164</v>
      </c>
      <c r="F295" s="1" t="s">
        <v>343</v>
      </c>
      <c r="G295" s="1" t="s">
        <v>165</v>
      </c>
      <c r="H295" s="1" t="s">
        <v>486</v>
      </c>
      <c r="I295" s="1">
        <v>2024</v>
      </c>
      <c r="J295" s="1" t="s">
        <v>598</v>
      </c>
      <c r="K295" s="1" t="s">
        <v>491</v>
      </c>
      <c r="P295" s="1" t="s">
        <v>490</v>
      </c>
      <c r="Q295" s="1">
        <v>60</v>
      </c>
      <c r="R295" s="1">
        <v>94</v>
      </c>
      <c r="S295" s="1">
        <v>40</v>
      </c>
    </row>
    <row r="296" spans="1:20" ht="14.25" hidden="1" customHeight="1" x14ac:dyDescent="0.2">
      <c r="A296" s="1" t="s">
        <v>98</v>
      </c>
      <c r="B296" s="1" t="s">
        <v>485</v>
      </c>
      <c r="C296" s="1">
        <v>9</v>
      </c>
      <c r="D296" s="6">
        <v>355190</v>
      </c>
      <c r="E296" s="1" t="s">
        <v>174</v>
      </c>
      <c r="F296" s="1" t="s">
        <v>599</v>
      </c>
      <c r="G296" s="1" t="s">
        <v>175</v>
      </c>
      <c r="H296" s="1" t="s">
        <v>486</v>
      </c>
      <c r="I296" s="1">
        <v>2024</v>
      </c>
      <c r="J296" s="1" t="s">
        <v>598</v>
      </c>
      <c r="K296" s="1" t="s">
        <v>491</v>
      </c>
      <c r="P296" s="1" t="s">
        <v>490</v>
      </c>
      <c r="Q296" s="1">
        <v>2</v>
      </c>
      <c r="R296" s="1">
        <v>3</v>
      </c>
      <c r="S296" s="1">
        <v>2</v>
      </c>
    </row>
    <row r="297" spans="1:20" ht="14.25" hidden="1" customHeight="1" x14ac:dyDescent="0.2">
      <c r="A297" s="1" t="s">
        <v>98</v>
      </c>
      <c r="B297" s="1" t="s">
        <v>485</v>
      </c>
      <c r="C297" s="1">
        <v>9</v>
      </c>
      <c r="D297" s="6">
        <v>355190</v>
      </c>
      <c r="E297" s="1" t="s">
        <v>179</v>
      </c>
      <c r="F297" s="1" t="s">
        <v>349</v>
      </c>
      <c r="G297" s="1" t="s">
        <v>492</v>
      </c>
      <c r="H297" s="1" t="s">
        <v>486</v>
      </c>
      <c r="I297" s="1">
        <v>2024</v>
      </c>
      <c r="J297" s="1" t="s">
        <v>598</v>
      </c>
      <c r="P297" s="1" t="s">
        <v>490</v>
      </c>
      <c r="Q297" s="1">
        <v>1</v>
      </c>
      <c r="R297" s="1">
        <v>1</v>
      </c>
      <c r="S297" s="1">
        <v>1</v>
      </c>
    </row>
    <row r="298" spans="1:20" ht="14.25" hidden="1" customHeight="1" x14ac:dyDescent="0.2">
      <c r="A298" s="1" t="s">
        <v>98</v>
      </c>
      <c r="B298" s="1" t="s">
        <v>485</v>
      </c>
      <c r="C298" s="1">
        <v>9</v>
      </c>
      <c r="D298" s="6">
        <v>355190</v>
      </c>
      <c r="E298" s="1" t="s">
        <v>195</v>
      </c>
      <c r="F298" s="1" t="s">
        <v>356</v>
      </c>
      <c r="G298" s="1" t="s">
        <v>549</v>
      </c>
      <c r="H298" s="1" t="s">
        <v>486</v>
      </c>
      <c r="I298" s="1">
        <v>2024</v>
      </c>
      <c r="J298" s="1" t="s">
        <v>598</v>
      </c>
      <c r="P298" s="1" t="s">
        <v>490</v>
      </c>
      <c r="Q298" s="1">
        <v>2</v>
      </c>
      <c r="R298" s="1">
        <v>2</v>
      </c>
      <c r="S298" s="1">
        <v>2</v>
      </c>
    </row>
    <row r="299" spans="1:20" ht="14.25" hidden="1" customHeight="1" x14ac:dyDescent="0.2">
      <c r="A299" s="1" t="s">
        <v>98</v>
      </c>
      <c r="B299" s="1" t="s">
        <v>485</v>
      </c>
      <c r="C299" s="1">
        <v>9</v>
      </c>
      <c r="D299" s="6">
        <v>355190</v>
      </c>
      <c r="E299" s="1" t="s">
        <v>197</v>
      </c>
      <c r="F299" s="1" t="s">
        <v>357</v>
      </c>
      <c r="G299" s="1" t="s">
        <v>198</v>
      </c>
      <c r="H299" s="1" t="s">
        <v>486</v>
      </c>
      <c r="I299" s="1">
        <v>2024</v>
      </c>
      <c r="J299" s="1" t="s">
        <v>598</v>
      </c>
      <c r="P299" s="1" t="s">
        <v>490</v>
      </c>
      <c r="Q299" s="1">
        <v>0</v>
      </c>
      <c r="R299" s="1">
        <v>6</v>
      </c>
      <c r="S299" s="1">
        <v>4</v>
      </c>
    </row>
    <row r="300" spans="1:20" ht="14.25" hidden="1" customHeight="1" x14ac:dyDescent="0.2">
      <c r="A300" s="1" t="s">
        <v>98</v>
      </c>
      <c r="B300" s="1" t="s">
        <v>485</v>
      </c>
      <c r="C300" s="1">
        <v>9</v>
      </c>
      <c r="D300" s="6">
        <v>355190</v>
      </c>
      <c r="E300" s="1" t="s">
        <v>217</v>
      </c>
      <c r="F300" s="1" t="s">
        <v>366</v>
      </c>
      <c r="G300" s="1" t="s">
        <v>493</v>
      </c>
      <c r="H300" s="1" t="s">
        <v>486</v>
      </c>
      <c r="I300" s="1">
        <v>2024</v>
      </c>
      <c r="J300" s="1" t="s">
        <v>598</v>
      </c>
      <c r="P300" s="1" t="s">
        <v>490</v>
      </c>
      <c r="Q300" s="1">
        <v>0</v>
      </c>
      <c r="R300" s="1">
        <v>0</v>
      </c>
      <c r="S300" s="1">
        <v>0</v>
      </c>
      <c r="T300" s="1" t="s">
        <v>600</v>
      </c>
    </row>
    <row r="301" spans="1:20" ht="14.25" hidden="1" customHeight="1" x14ac:dyDescent="0.2">
      <c r="A301" s="1" t="s">
        <v>98</v>
      </c>
      <c r="B301" s="1" t="s">
        <v>485</v>
      </c>
      <c r="C301" s="1">
        <v>9</v>
      </c>
      <c r="D301" s="6">
        <v>355190</v>
      </c>
      <c r="E301" s="1" t="s">
        <v>250</v>
      </c>
      <c r="F301" s="1" t="s">
        <v>381</v>
      </c>
      <c r="G301" s="1" t="s">
        <v>509</v>
      </c>
      <c r="H301" s="1" t="s">
        <v>486</v>
      </c>
      <c r="I301" s="1">
        <v>2024</v>
      </c>
      <c r="J301" s="1" t="s">
        <v>598</v>
      </c>
      <c r="P301" s="1" t="s">
        <v>490</v>
      </c>
      <c r="Q301" s="1">
        <v>0</v>
      </c>
      <c r="R301" s="1">
        <v>5</v>
      </c>
      <c r="S301" s="1">
        <v>1</v>
      </c>
    </row>
    <row r="302" spans="1:20" ht="14.25" customHeight="1" x14ac:dyDescent="0.2">
      <c r="A302" s="1" t="s">
        <v>98</v>
      </c>
      <c r="B302" s="1" t="s">
        <v>485</v>
      </c>
      <c r="C302" s="1">
        <v>9</v>
      </c>
      <c r="D302" s="6">
        <v>355190</v>
      </c>
      <c r="E302" s="1" t="s">
        <v>257</v>
      </c>
      <c r="F302" s="1" t="s">
        <v>384</v>
      </c>
      <c r="G302" s="1" t="s">
        <v>514</v>
      </c>
      <c r="H302" s="1" t="s">
        <v>486</v>
      </c>
      <c r="I302" s="1">
        <v>2024</v>
      </c>
      <c r="J302" s="1" t="s">
        <v>598</v>
      </c>
      <c r="P302" s="1" t="s">
        <v>490</v>
      </c>
      <c r="Q302" s="1">
        <v>1</v>
      </c>
      <c r="R302" s="1">
        <v>1</v>
      </c>
      <c r="S302" s="1">
        <v>60</v>
      </c>
      <c r="T302" s="1" t="s">
        <v>601</v>
      </c>
    </row>
    <row r="303" spans="1:20" ht="14.25" hidden="1" customHeight="1" x14ac:dyDescent="0.2">
      <c r="A303" s="1" t="s">
        <v>100</v>
      </c>
      <c r="B303" s="1" t="s">
        <v>485</v>
      </c>
      <c r="C303" s="1">
        <v>9</v>
      </c>
      <c r="D303" s="6">
        <v>344905</v>
      </c>
      <c r="E303" s="1" t="s">
        <v>215</v>
      </c>
      <c r="F303" s="1" t="str">
        <f>RIGHT(E303, LEN(E303) - 6)</f>
        <v>C01</v>
      </c>
      <c r="G303" s="1" t="s">
        <v>216</v>
      </c>
      <c r="H303" s="1" t="s">
        <v>486</v>
      </c>
      <c r="I303" s="1">
        <v>2024</v>
      </c>
      <c r="J303" s="1" t="s">
        <v>586</v>
      </c>
      <c r="P303" s="1" t="s">
        <v>490</v>
      </c>
      <c r="Q303" s="1">
        <v>0</v>
      </c>
      <c r="R303" s="1">
        <v>1</v>
      </c>
      <c r="S303" s="1">
        <v>1</v>
      </c>
    </row>
    <row r="304" spans="1:20" ht="14.25" hidden="1" customHeight="1" x14ac:dyDescent="0.2">
      <c r="A304" s="1" t="s">
        <v>100</v>
      </c>
      <c r="B304" s="1" t="s">
        <v>485</v>
      </c>
      <c r="C304" s="1">
        <v>9</v>
      </c>
      <c r="D304" s="6">
        <v>344905</v>
      </c>
      <c r="E304" s="1" t="s">
        <v>164</v>
      </c>
      <c r="F304" s="1" t="str">
        <f>RIGHT(E304, LEN(E304) - 6)</f>
        <v>A01</v>
      </c>
      <c r="G304" s="1" t="s">
        <v>165</v>
      </c>
      <c r="H304" s="1" t="s">
        <v>486</v>
      </c>
      <c r="I304" s="1">
        <v>2024</v>
      </c>
      <c r="J304" s="1" t="s">
        <v>586</v>
      </c>
      <c r="P304" s="1" t="s">
        <v>490</v>
      </c>
      <c r="Q304" s="1">
        <v>12</v>
      </c>
      <c r="R304" s="1">
        <v>28</v>
      </c>
      <c r="S304" s="1">
        <v>15</v>
      </c>
    </row>
    <row r="305" spans="1:19" ht="14.25" hidden="1" customHeight="1" x14ac:dyDescent="0.2">
      <c r="A305" s="1" t="s">
        <v>100</v>
      </c>
      <c r="B305" s="1" t="s">
        <v>485</v>
      </c>
      <c r="C305" s="1">
        <v>9</v>
      </c>
      <c r="D305" s="6">
        <v>344905</v>
      </c>
      <c r="E305" s="1" t="s">
        <v>207</v>
      </c>
      <c r="F305" s="1" t="str">
        <f>RIGHT(E305, LEN(E305) - 6)</f>
        <v>B10</v>
      </c>
      <c r="G305" s="1" t="s">
        <v>208</v>
      </c>
      <c r="H305" s="1" t="s">
        <v>486</v>
      </c>
      <c r="I305" s="1">
        <v>2024</v>
      </c>
      <c r="J305" s="1" t="s">
        <v>586</v>
      </c>
      <c r="P305" s="1" t="s">
        <v>490</v>
      </c>
      <c r="Q305" s="1">
        <v>0</v>
      </c>
      <c r="R305" s="1">
        <v>5</v>
      </c>
      <c r="S305" s="1">
        <v>20</v>
      </c>
    </row>
    <row r="306" spans="1:19" ht="14.25" hidden="1" customHeight="1" x14ac:dyDescent="0.2">
      <c r="A306" s="1" t="s">
        <v>100</v>
      </c>
      <c r="B306" s="1" t="s">
        <v>485</v>
      </c>
      <c r="C306" s="1">
        <v>9</v>
      </c>
      <c r="D306" s="6">
        <v>344905</v>
      </c>
      <c r="E306" s="1" t="s">
        <v>247</v>
      </c>
      <c r="F306" s="1" t="str">
        <f t="shared" ref="F306:F311" si="24">RIGHT(E306, LEN(E306) - 6)</f>
        <v>C16</v>
      </c>
      <c r="G306" s="1" t="s">
        <v>494</v>
      </c>
      <c r="H306" s="1" t="s">
        <v>486</v>
      </c>
      <c r="I306" s="1">
        <v>2024</v>
      </c>
      <c r="J306" s="1" t="s">
        <v>586</v>
      </c>
      <c r="P306" s="1" t="s">
        <v>490</v>
      </c>
      <c r="Q306" s="1">
        <v>4</v>
      </c>
      <c r="R306" s="1">
        <v>5</v>
      </c>
      <c r="S306" s="1">
        <v>5</v>
      </c>
    </row>
    <row r="307" spans="1:19" ht="14.25" hidden="1" customHeight="1" x14ac:dyDescent="0.2">
      <c r="A307" s="1" t="s">
        <v>100</v>
      </c>
      <c r="B307" s="1" t="s">
        <v>485</v>
      </c>
      <c r="C307" s="1">
        <v>9</v>
      </c>
      <c r="D307" s="6">
        <v>344905</v>
      </c>
      <c r="E307" s="1" t="s">
        <v>254</v>
      </c>
      <c r="F307" s="1" t="str">
        <f t="shared" si="24"/>
        <v>C19</v>
      </c>
      <c r="G307" s="1" t="s">
        <v>255</v>
      </c>
      <c r="H307" s="1" t="s">
        <v>486</v>
      </c>
      <c r="I307" s="1">
        <v>2024</v>
      </c>
      <c r="J307" s="1" t="s">
        <v>586</v>
      </c>
      <c r="P307" s="1" t="s">
        <v>490</v>
      </c>
      <c r="Q307" s="1">
        <v>4</v>
      </c>
      <c r="R307" s="1">
        <v>4</v>
      </c>
      <c r="S307" s="1">
        <v>8</v>
      </c>
    </row>
    <row r="308" spans="1:19" ht="14.25" hidden="1" customHeight="1" x14ac:dyDescent="0.2">
      <c r="A308" s="1" t="s">
        <v>100</v>
      </c>
      <c r="B308" s="1" t="s">
        <v>485</v>
      </c>
      <c r="C308" s="1">
        <v>10</v>
      </c>
      <c r="D308" s="6">
        <v>344905</v>
      </c>
      <c r="E308" s="1" t="s">
        <v>217</v>
      </c>
      <c r="F308" s="1" t="str">
        <f t="shared" si="24"/>
        <v>C02</v>
      </c>
      <c r="G308" s="1" t="s">
        <v>218</v>
      </c>
      <c r="H308" s="1" t="s">
        <v>486</v>
      </c>
      <c r="I308" s="1">
        <v>2024</v>
      </c>
      <c r="J308" s="1" t="s">
        <v>586</v>
      </c>
      <c r="P308" s="1" t="s">
        <v>490</v>
      </c>
      <c r="Q308" s="1">
        <v>2</v>
      </c>
      <c r="R308" s="1">
        <v>2</v>
      </c>
      <c r="S308" s="1">
        <v>2</v>
      </c>
    </row>
    <row r="309" spans="1:19" ht="14.25" hidden="1" customHeight="1" x14ac:dyDescent="0.2">
      <c r="A309" s="1" t="s">
        <v>116</v>
      </c>
      <c r="B309" s="1" t="s">
        <v>485</v>
      </c>
      <c r="C309" s="1">
        <v>10</v>
      </c>
      <c r="D309" s="6">
        <v>266119</v>
      </c>
      <c r="E309" s="1" t="s">
        <v>217</v>
      </c>
      <c r="F309" s="1" t="str">
        <f t="shared" si="24"/>
        <v>C02</v>
      </c>
      <c r="G309" s="1" t="s">
        <v>218</v>
      </c>
      <c r="H309" s="1" t="s">
        <v>486</v>
      </c>
      <c r="I309" s="1">
        <v>2024</v>
      </c>
      <c r="J309" s="1" t="s">
        <v>500</v>
      </c>
      <c r="P309" s="1" t="s">
        <v>490</v>
      </c>
      <c r="Q309" s="1">
        <v>1</v>
      </c>
      <c r="R309" s="1">
        <v>1</v>
      </c>
      <c r="S309" s="1">
        <v>1</v>
      </c>
    </row>
    <row r="310" spans="1:19" ht="14.25" hidden="1" customHeight="1" x14ac:dyDescent="0.2">
      <c r="A310" s="1" t="s">
        <v>116</v>
      </c>
      <c r="B310" s="1" t="s">
        <v>485</v>
      </c>
      <c r="C310" s="1">
        <v>10</v>
      </c>
      <c r="D310" s="6">
        <v>266119</v>
      </c>
      <c r="E310" s="1" t="s">
        <v>219</v>
      </c>
      <c r="F310" s="1" t="str">
        <f t="shared" si="24"/>
        <v>C03</v>
      </c>
      <c r="G310" s="1" t="s">
        <v>220</v>
      </c>
      <c r="H310" s="1" t="s">
        <v>486</v>
      </c>
      <c r="I310" s="1">
        <v>2024</v>
      </c>
      <c r="J310" s="1" t="s">
        <v>500</v>
      </c>
      <c r="P310" s="1" t="s">
        <v>490</v>
      </c>
      <c r="Q310" s="1">
        <v>1</v>
      </c>
      <c r="R310" s="1">
        <v>1</v>
      </c>
      <c r="S310" s="1">
        <v>1</v>
      </c>
    </row>
    <row r="311" spans="1:19" ht="14.25" hidden="1" customHeight="1" x14ac:dyDescent="0.2">
      <c r="A311" s="1" t="s">
        <v>116</v>
      </c>
      <c r="B311" s="1" t="s">
        <v>485</v>
      </c>
      <c r="C311" s="1">
        <v>10</v>
      </c>
      <c r="D311" s="6">
        <v>266119</v>
      </c>
      <c r="E311" s="1" t="s">
        <v>223</v>
      </c>
      <c r="F311" s="1" t="str">
        <f t="shared" si="24"/>
        <v>C05</v>
      </c>
      <c r="G311" s="1" t="s">
        <v>224</v>
      </c>
      <c r="H311" s="1" t="s">
        <v>486</v>
      </c>
      <c r="I311" s="1">
        <v>2024</v>
      </c>
      <c r="J311" s="1" t="s">
        <v>500</v>
      </c>
      <c r="P311" s="1" t="s">
        <v>490</v>
      </c>
      <c r="Q311" s="1">
        <v>1</v>
      </c>
      <c r="R311" s="1">
        <v>1</v>
      </c>
      <c r="S311" s="1">
        <v>1</v>
      </c>
    </row>
    <row r="312" spans="1:19" ht="14.25" hidden="1" customHeight="1" x14ac:dyDescent="0.2">
      <c r="A312" s="1" t="s">
        <v>116</v>
      </c>
      <c r="B312" s="1" t="s">
        <v>485</v>
      </c>
      <c r="C312" s="1">
        <v>10</v>
      </c>
      <c r="D312" s="6">
        <v>266119</v>
      </c>
      <c r="E312" s="1" t="s">
        <v>232</v>
      </c>
      <c r="F312" s="1" t="str">
        <f t="shared" ref="F312:F315" si="25">RIGHT(E312, LEN(E312) - 6)</f>
        <v>C09</v>
      </c>
      <c r="G312" s="1" t="s">
        <v>233</v>
      </c>
      <c r="H312" s="1" t="s">
        <v>486</v>
      </c>
      <c r="I312" s="1">
        <v>2024</v>
      </c>
      <c r="J312" s="1" t="s">
        <v>500</v>
      </c>
      <c r="P312" s="1" t="s">
        <v>490</v>
      </c>
      <c r="Q312" s="1">
        <v>4</v>
      </c>
      <c r="R312" s="1">
        <v>4</v>
      </c>
      <c r="S312" s="1">
        <v>4</v>
      </c>
    </row>
    <row r="313" spans="1:19" ht="14.25" hidden="1" customHeight="1" x14ac:dyDescent="0.2">
      <c r="A313" s="1" t="s">
        <v>116</v>
      </c>
      <c r="B313" s="1" t="s">
        <v>485</v>
      </c>
      <c r="C313" s="1">
        <v>10</v>
      </c>
      <c r="D313" s="6">
        <v>266119</v>
      </c>
      <c r="E313" s="1" t="s">
        <v>234</v>
      </c>
      <c r="F313" s="1" t="str">
        <f t="shared" si="25"/>
        <v>C10</v>
      </c>
      <c r="G313" s="1" t="s">
        <v>235</v>
      </c>
      <c r="H313" s="1" t="s">
        <v>486</v>
      </c>
      <c r="I313" s="1">
        <v>2024</v>
      </c>
      <c r="J313" s="1" t="s">
        <v>500</v>
      </c>
      <c r="P313" s="1" t="s">
        <v>490</v>
      </c>
      <c r="Q313" s="1">
        <v>2</v>
      </c>
      <c r="R313" s="1">
        <v>2</v>
      </c>
      <c r="S313" s="1">
        <v>2</v>
      </c>
    </row>
    <row r="314" spans="1:19" ht="14.25" hidden="1" customHeight="1" x14ac:dyDescent="0.2">
      <c r="A314" s="1" t="s">
        <v>116</v>
      </c>
      <c r="B314" s="1" t="s">
        <v>485</v>
      </c>
      <c r="C314" s="1">
        <v>10</v>
      </c>
      <c r="D314" s="6">
        <v>266119</v>
      </c>
      <c r="E314" s="1" t="s">
        <v>238</v>
      </c>
      <c r="F314" s="1" t="str">
        <f t="shared" si="25"/>
        <v>C12</v>
      </c>
      <c r="G314" s="1" t="s">
        <v>239</v>
      </c>
      <c r="H314" s="1" t="s">
        <v>486</v>
      </c>
      <c r="I314" s="1">
        <v>2024</v>
      </c>
      <c r="J314" s="1" t="s">
        <v>500</v>
      </c>
      <c r="P314" s="1" t="s">
        <v>490</v>
      </c>
      <c r="Q314" s="1">
        <v>0</v>
      </c>
      <c r="R314" s="1">
        <f>5857+34547</f>
        <v>40404</v>
      </c>
      <c r="S314" s="1">
        <f>5857+34547</f>
        <v>40404</v>
      </c>
    </row>
    <row r="315" spans="1:19" ht="14.25" hidden="1" customHeight="1" x14ac:dyDescent="0.2">
      <c r="A315" s="1" t="s">
        <v>116</v>
      </c>
      <c r="B315" s="1" t="s">
        <v>485</v>
      </c>
      <c r="C315" s="1">
        <v>10</v>
      </c>
      <c r="D315" s="6">
        <v>266119</v>
      </c>
      <c r="E315" s="1" t="s">
        <v>245</v>
      </c>
      <c r="F315" s="1" t="str">
        <f t="shared" si="25"/>
        <v>C15</v>
      </c>
      <c r="G315" s="1" t="s">
        <v>246</v>
      </c>
      <c r="H315" s="1" t="s">
        <v>486</v>
      </c>
      <c r="I315" s="1">
        <v>2024</v>
      </c>
      <c r="J315" s="1" t="s">
        <v>500</v>
      </c>
      <c r="P315" s="1" t="s">
        <v>490</v>
      </c>
      <c r="Q315" s="1">
        <v>2</v>
      </c>
      <c r="R315" s="1">
        <v>8</v>
      </c>
      <c r="S315" s="1">
        <v>9</v>
      </c>
    </row>
    <row r="316" spans="1:19" ht="14.25" hidden="1" customHeight="1" x14ac:dyDescent="0.2">
      <c r="A316" s="1" t="s">
        <v>116</v>
      </c>
      <c r="B316" s="1" t="s">
        <v>485</v>
      </c>
      <c r="C316" s="1">
        <v>8</v>
      </c>
      <c r="D316" s="6">
        <v>266119</v>
      </c>
      <c r="E316" s="1" t="s">
        <v>279</v>
      </c>
      <c r="F316" s="1" t="str">
        <f>RIGHT(E316, LEN(E316) - 6)</f>
        <v>D12</v>
      </c>
      <c r="G316" s="1" t="s">
        <v>280</v>
      </c>
      <c r="H316" s="1" t="s">
        <v>486</v>
      </c>
      <c r="I316" s="1">
        <v>2024</v>
      </c>
      <c r="J316" s="1" t="s">
        <v>500</v>
      </c>
      <c r="P316" s="1" t="s">
        <v>490</v>
      </c>
      <c r="Q316" s="1">
        <v>0.54</v>
      </c>
      <c r="R316" s="1">
        <v>1.62</v>
      </c>
      <c r="S316" s="1">
        <v>1.62</v>
      </c>
    </row>
    <row r="317" spans="1:19" ht="14.25" hidden="1" customHeight="1" x14ac:dyDescent="0.2">
      <c r="A317" s="1" t="s">
        <v>602</v>
      </c>
      <c r="B317" s="1" t="s">
        <v>485</v>
      </c>
      <c r="C317" s="1">
        <v>8</v>
      </c>
      <c r="D317" s="6">
        <v>312019</v>
      </c>
      <c r="E317" s="1" t="s">
        <v>164</v>
      </c>
      <c r="F317" s="1" t="str">
        <f>RIGHT(E317, LEN(E317) - 6)</f>
        <v>A01</v>
      </c>
      <c r="G317" s="1" t="s">
        <v>165</v>
      </c>
      <c r="H317" s="1" t="s">
        <v>486</v>
      </c>
      <c r="I317" s="1">
        <v>2024</v>
      </c>
      <c r="J317" s="1" t="s">
        <v>603</v>
      </c>
      <c r="P317" s="1" t="s">
        <v>490</v>
      </c>
      <c r="Q317" s="1">
        <v>0</v>
      </c>
      <c r="R317" s="1">
        <v>20</v>
      </c>
      <c r="S317" s="1">
        <v>60</v>
      </c>
    </row>
    <row r="318" spans="1:19" ht="14.25" hidden="1" customHeight="1" x14ac:dyDescent="0.2">
      <c r="A318" s="1" t="s">
        <v>602</v>
      </c>
      <c r="B318" s="1" t="s">
        <v>485</v>
      </c>
      <c r="C318" s="1">
        <v>8</v>
      </c>
      <c r="D318" s="6">
        <v>312019</v>
      </c>
      <c r="E318" s="1" t="s">
        <v>190</v>
      </c>
      <c r="F318" s="1" t="str">
        <f t="shared" ref="F318:F320" si="26">RIGHT(E318, LEN(E318) - 6)</f>
        <v>B02</v>
      </c>
      <c r="G318" s="1" t="s">
        <v>498</v>
      </c>
      <c r="H318" s="1" t="s">
        <v>486</v>
      </c>
      <c r="I318" s="1">
        <v>2024</v>
      </c>
      <c r="J318" s="1" t="s">
        <v>603</v>
      </c>
      <c r="P318" s="1" t="s">
        <v>490</v>
      </c>
      <c r="Q318" s="1">
        <v>0</v>
      </c>
      <c r="R318" s="1">
        <v>5</v>
      </c>
      <c r="S318" s="1">
        <v>5</v>
      </c>
    </row>
    <row r="319" spans="1:19" ht="14.25" hidden="1" customHeight="1" x14ac:dyDescent="0.2">
      <c r="A319" s="1" t="s">
        <v>602</v>
      </c>
      <c r="B319" s="1" t="s">
        <v>485</v>
      </c>
      <c r="C319" s="1">
        <v>8</v>
      </c>
      <c r="D319" s="6">
        <v>312019</v>
      </c>
      <c r="E319" s="1" t="s">
        <v>215</v>
      </c>
      <c r="F319" s="1" t="str">
        <f t="shared" si="26"/>
        <v>C01</v>
      </c>
      <c r="G319" s="1" t="s">
        <v>216</v>
      </c>
      <c r="H319" s="1" t="s">
        <v>486</v>
      </c>
      <c r="I319" s="1">
        <v>2024</v>
      </c>
      <c r="J319" s="1" t="s">
        <v>603</v>
      </c>
      <c r="P319" s="1" t="s">
        <v>490</v>
      </c>
      <c r="Q319" s="1">
        <v>0</v>
      </c>
      <c r="R319" s="1">
        <v>4</v>
      </c>
      <c r="S319" s="1">
        <v>5</v>
      </c>
    </row>
    <row r="320" spans="1:19" ht="14.25" hidden="1" customHeight="1" x14ac:dyDescent="0.2">
      <c r="A320" s="1" t="s">
        <v>602</v>
      </c>
      <c r="B320" s="1" t="s">
        <v>485</v>
      </c>
      <c r="C320" s="1">
        <v>9</v>
      </c>
      <c r="D320" s="6">
        <v>312019</v>
      </c>
      <c r="E320" s="1" t="s">
        <v>238</v>
      </c>
      <c r="F320" s="1" t="str">
        <f t="shared" si="26"/>
        <v>C12</v>
      </c>
      <c r="G320" s="1" t="s">
        <v>239</v>
      </c>
      <c r="H320" s="1" t="s">
        <v>486</v>
      </c>
      <c r="I320" s="1">
        <v>2024</v>
      </c>
      <c r="J320" s="1" t="s">
        <v>603</v>
      </c>
      <c r="P320" s="1" t="s">
        <v>490</v>
      </c>
      <c r="Q320" s="1">
        <v>0</v>
      </c>
      <c r="R320" s="1">
        <v>18</v>
      </c>
      <c r="S320" s="1">
        <v>34</v>
      </c>
    </row>
    <row r="321" spans="1:19" ht="14.25" hidden="1" customHeight="1" x14ac:dyDescent="0.2">
      <c r="A321" s="1" t="s">
        <v>604</v>
      </c>
      <c r="B321" s="1" t="s">
        <v>485</v>
      </c>
      <c r="C321" s="1">
        <v>9</v>
      </c>
      <c r="D321" s="6">
        <v>58798</v>
      </c>
      <c r="E321" s="1" t="s">
        <v>169</v>
      </c>
      <c r="F321" s="1" t="s">
        <v>345</v>
      </c>
      <c r="G321" s="1" t="s">
        <v>170</v>
      </c>
      <c r="H321" s="1" t="s">
        <v>486</v>
      </c>
      <c r="I321" s="1">
        <v>2024</v>
      </c>
      <c r="J321" s="1" t="s">
        <v>605</v>
      </c>
      <c r="P321" s="1" t="s">
        <v>490</v>
      </c>
      <c r="Q321" s="1">
        <v>0</v>
      </c>
      <c r="R321" s="1">
        <v>1</v>
      </c>
      <c r="S321" s="1">
        <v>1</v>
      </c>
    </row>
    <row r="322" spans="1:19" ht="14.25" hidden="1" customHeight="1" x14ac:dyDescent="0.2">
      <c r="A322" s="1" t="s">
        <v>604</v>
      </c>
      <c r="B322" s="1" t="s">
        <v>485</v>
      </c>
      <c r="C322" s="1">
        <v>9</v>
      </c>
      <c r="D322" s="6">
        <v>58798</v>
      </c>
      <c r="E322" s="1" t="s">
        <v>215</v>
      </c>
      <c r="F322" s="1" t="s">
        <v>365</v>
      </c>
      <c r="G322" s="1" t="s">
        <v>216</v>
      </c>
      <c r="H322" s="1" t="s">
        <v>486</v>
      </c>
      <c r="I322" s="1">
        <v>2024</v>
      </c>
      <c r="J322" s="1" t="s">
        <v>605</v>
      </c>
      <c r="P322" s="1" t="s">
        <v>490</v>
      </c>
      <c r="Q322" s="1">
        <v>0</v>
      </c>
      <c r="R322" s="1">
        <v>1</v>
      </c>
      <c r="S322" s="1">
        <v>1</v>
      </c>
    </row>
    <row r="323" spans="1:19" ht="14.25" hidden="1" customHeight="1" x14ac:dyDescent="0.2">
      <c r="A323" s="1" t="s">
        <v>604</v>
      </c>
      <c r="B323" s="1" t="s">
        <v>485</v>
      </c>
      <c r="C323" s="1">
        <v>9</v>
      </c>
      <c r="D323" s="6">
        <v>58798</v>
      </c>
      <c r="E323" s="1" t="s">
        <v>217</v>
      </c>
      <c r="F323" s="1" t="s">
        <v>366</v>
      </c>
      <c r="G323" s="1" t="s">
        <v>493</v>
      </c>
      <c r="H323" s="1" t="s">
        <v>486</v>
      </c>
      <c r="I323" s="1">
        <v>2024</v>
      </c>
      <c r="J323" s="1" t="s">
        <v>605</v>
      </c>
      <c r="P323" s="1" t="s">
        <v>490</v>
      </c>
      <c r="Q323" s="1">
        <v>0</v>
      </c>
      <c r="R323" s="1">
        <v>1</v>
      </c>
      <c r="S323" s="1">
        <v>1</v>
      </c>
    </row>
    <row r="324" spans="1:19" ht="14.25" hidden="1" customHeight="1" x14ac:dyDescent="0.2">
      <c r="A324" s="1" t="s">
        <v>604</v>
      </c>
      <c r="B324" s="1" t="s">
        <v>485</v>
      </c>
      <c r="C324" s="1">
        <v>9</v>
      </c>
      <c r="D324" s="6">
        <v>58798</v>
      </c>
      <c r="E324" s="1" t="s">
        <v>240</v>
      </c>
      <c r="F324" s="1" t="str">
        <f t="shared" ref="F324" si="27">RIGHT(E324, LEN(E324) - 6)</f>
        <v>C13</v>
      </c>
      <c r="G324" s="1" t="s">
        <v>539</v>
      </c>
      <c r="H324" s="1" t="s">
        <v>486</v>
      </c>
      <c r="I324" s="1">
        <v>2024</v>
      </c>
      <c r="J324" s="1" t="s">
        <v>605</v>
      </c>
      <c r="P324" s="1" t="s">
        <v>490</v>
      </c>
      <c r="Q324" s="1">
        <v>0</v>
      </c>
      <c r="R324" s="1">
        <v>53</v>
      </c>
      <c r="S324" s="1">
        <v>53</v>
      </c>
    </row>
    <row r="325" spans="1:19" ht="14.25" hidden="1" customHeight="1" x14ac:dyDescent="0.2">
      <c r="A325" s="1" t="s">
        <v>606</v>
      </c>
      <c r="B325" s="1" t="s">
        <v>485</v>
      </c>
      <c r="C325" s="1">
        <v>9</v>
      </c>
      <c r="D325" s="6">
        <v>73672</v>
      </c>
      <c r="E325" s="1" t="s">
        <v>169</v>
      </c>
      <c r="F325" s="1" t="s">
        <v>345</v>
      </c>
      <c r="G325" s="1" t="s">
        <v>170</v>
      </c>
      <c r="H325" s="1" t="s">
        <v>486</v>
      </c>
      <c r="I325" s="1">
        <v>2024</v>
      </c>
      <c r="J325" s="1" t="s">
        <v>598</v>
      </c>
      <c r="P325" s="1" t="s">
        <v>490</v>
      </c>
      <c r="Q325" s="1">
        <v>0</v>
      </c>
      <c r="R325" s="1">
        <v>2</v>
      </c>
      <c r="S325" s="1">
        <v>2</v>
      </c>
    </row>
    <row r="326" spans="1:19" ht="14.25" hidden="1" customHeight="1" x14ac:dyDescent="0.2">
      <c r="A326" s="1" t="s">
        <v>606</v>
      </c>
      <c r="B326" s="1" t="s">
        <v>485</v>
      </c>
      <c r="C326" s="1">
        <v>9</v>
      </c>
      <c r="D326" s="6">
        <v>73672</v>
      </c>
      <c r="E326" s="1" t="s">
        <v>179</v>
      </c>
      <c r="F326" s="1" t="s">
        <v>349</v>
      </c>
      <c r="G326" s="1" t="s">
        <v>492</v>
      </c>
      <c r="H326" s="1" t="s">
        <v>486</v>
      </c>
      <c r="I326" s="1">
        <v>2024</v>
      </c>
      <c r="J326" s="1" t="s">
        <v>598</v>
      </c>
      <c r="P326" s="1" t="s">
        <v>490</v>
      </c>
      <c r="Q326" s="1">
        <v>0</v>
      </c>
      <c r="R326" s="1">
        <v>1</v>
      </c>
      <c r="S326" s="1">
        <v>1</v>
      </c>
    </row>
    <row r="327" spans="1:19" ht="14.25" hidden="1" customHeight="1" x14ac:dyDescent="0.2">
      <c r="A327" s="1" t="s">
        <v>606</v>
      </c>
      <c r="B327" s="1" t="s">
        <v>485</v>
      </c>
      <c r="C327" s="1">
        <v>9</v>
      </c>
      <c r="D327" s="6">
        <v>73672</v>
      </c>
      <c r="E327" s="1" t="s">
        <v>190</v>
      </c>
      <c r="F327" s="1" t="s">
        <v>354</v>
      </c>
      <c r="G327" s="1" t="s">
        <v>498</v>
      </c>
      <c r="H327" s="1" t="s">
        <v>486</v>
      </c>
      <c r="I327" s="1">
        <v>2024</v>
      </c>
      <c r="J327" s="1" t="s">
        <v>598</v>
      </c>
      <c r="P327" s="1" t="s">
        <v>490</v>
      </c>
      <c r="Q327" s="1">
        <v>1</v>
      </c>
      <c r="R327" s="1">
        <v>1</v>
      </c>
      <c r="S327" s="1">
        <v>1</v>
      </c>
    </row>
    <row r="328" spans="1:19" ht="14.25" hidden="1" customHeight="1" x14ac:dyDescent="0.2">
      <c r="A328" s="1" t="s">
        <v>606</v>
      </c>
      <c r="B328" s="1" t="s">
        <v>485</v>
      </c>
      <c r="C328" s="1">
        <v>9</v>
      </c>
      <c r="D328" s="6">
        <v>73672</v>
      </c>
      <c r="E328" s="1" t="s">
        <v>219</v>
      </c>
      <c r="F328" s="1" t="s">
        <v>367</v>
      </c>
      <c r="G328" s="1" t="s">
        <v>220</v>
      </c>
      <c r="H328" s="1" t="s">
        <v>486</v>
      </c>
      <c r="I328" s="1">
        <v>2024</v>
      </c>
      <c r="J328" s="1" t="s">
        <v>598</v>
      </c>
      <c r="P328" s="1" t="s">
        <v>490</v>
      </c>
      <c r="Q328" s="1">
        <v>1</v>
      </c>
      <c r="R328" s="1">
        <v>1</v>
      </c>
      <c r="S328" s="1">
        <v>1</v>
      </c>
    </row>
    <row r="329" spans="1:19" ht="14.25" hidden="1" customHeight="1" x14ac:dyDescent="0.2">
      <c r="A329" s="1" t="s">
        <v>607</v>
      </c>
      <c r="B329" s="1" t="s">
        <v>485</v>
      </c>
      <c r="C329" s="1">
        <v>9</v>
      </c>
      <c r="D329" s="6">
        <v>85460</v>
      </c>
      <c r="E329" s="1" t="s">
        <v>169</v>
      </c>
      <c r="F329" s="1" t="s">
        <v>345</v>
      </c>
      <c r="G329" s="1" t="s">
        <v>170</v>
      </c>
      <c r="H329" s="1" t="s">
        <v>486</v>
      </c>
      <c r="I329" s="1">
        <v>2024</v>
      </c>
      <c r="J329" s="1" t="s">
        <v>500</v>
      </c>
      <c r="P329" s="1" t="s">
        <v>490</v>
      </c>
      <c r="Q329" s="1">
        <v>0</v>
      </c>
      <c r="R329" s="1">
        <v>3</v>
      </c>
      <c r="S329" s="1">
        <v>3</v>
      </c>
    </row>
    <row r="330" spans="1:19" ht="14.25" hidden="1" customHeight="1" x14ac:dyDescent="0.2">
      <c r="A330" s="1" t="s">
        <v>607</v>
      </c>
      <c r="B330" s="1" t="s">
        <v>485</v>
      </c>
      <c r="C330" s="1">
        <v>9</v>
      </c>
      <c r="D330" s="6">
        <v>85460</v>
      </c>
      <c r="E330" s="1" t="s">
        <v>171</v>
      </c>
      <c r="F330" s="1" t="str">
        <f t="shared" ref="F330" si="28">RIGHT(E330, LEN(E330) - 6)</f>
        <v>A04</v>
      </c>
      <c r="G330" s="1" t="s">
        <v>523</v>
      </c>
      <c r="H330" s="1" t="s">
        <v>486</v>
      </c>
      <c r="I330" s="1">
        <v>2024</v>
      </c>
      <c r="J330" s="1" t="s">
        <v>500</v>
      </c>
      <c r="P330" s="1" t="s">
        <v>490</v>
      </c>
      <c r="Q330" s="1">
        <v>0</v>
      </c>
      <c r="R330" s="1">
        <v>2</v>
      </c>
      <c r="S330" s="1">
        <v>2</v>
      </c>
    </row>
    <row r="331" spans="1:19" ht="14.25" hidden="1" customHeight="1" x14ac:dyDescent="0.2">
      <c r="A331" s="1" t="s">
        <v>607</v>
      </c>
      <c r="B331" s="1" t="s">
        <v>485</v>
      </c>
      <c r="C331" s="1">
        <v>9</v>
      </c>
      <c r="D331" s="6">
        <v>85460</v>
      </c>
      <c r="E331" s="1" t="s">
        <v>210</v>
      </c>
      <c r="F331" s="1" t="str">
        <f>RIGHT(E331, LEN(E331) - 6)</f>
        <v>B11</v>
      </c>
      <c r="G331" s="1" t="s">
        <v>211</v>
      </c>
      <c r="H331" s="1" t="s">
        <v>486</v>
      </c>
      <c r="I331" s="1">
        <v>2024</v>
      </c>
      <c r="J331" s="1" t="s">
        <v>500</v>
      </c>
      <c r="P331" s="1" t="s">
        <v>490</v>
      </c>
      <c r="Q331" s="1">
        <v>0</v>
      </c>
      <c r="R331" s="1">
        <v>1</v>
      </c>
      <c r="S331" s="1">
        <v>1</v>
      </c>
    </row>
    <row r="332" spans="1:19" ht="14.25" hidden="1" customHeight="1" x14ac:dyDescent="0.2">
      <c r="A332" s="1" t="s">
        <v>607</v>
      </c>
      <c r="B332" s="1" t="s">
        <v>485</v>
      </c>
      <c r="C332" s="1">
        <v>9</v>
      </c>
      <c r="D332" s="6">
        <v>85460</v>
      </c>
      <c r="E332" s="1" t="s">
        <v>250</v>
      </c>
      <c r="F332" s="1" t="str">
        <f>RIGHT(E332, LEN(E332) - 6)</f>
        <v>C17</v>
      </c>
      <c r="G332" s="1" t="s">
        <v>251</v>
      </c>
      <c r="H332" s="1" t="s">
        <v>486</v>
      </c>
      <c r="I332" s="1">
        <v>2024</v>
      </c>
      <c r="J332" s="1" t="s">
        <v>500</v>
      </c>
      <c r="P332" s="1" t="s">
        <v>490</v>
      </c>
      <c r="Q332" s="1">
        <v>0</v>
      </c>
      <c r="R332" s="1">
        <v>1</v>
      </c>
      <c r="S332" s="1">
        <v>1</v>
      </c>
    </row>
    <row r="333" spans="1:19" ht="14.25" hidden="1" customHeight="1" x14ac:dyDescent="0.2">
      <c r="A333" s="1" t="s">
        <v>607</v>
      </c>
      <c r="B333" s="1" t="s">
        <v>485</v>
      </c>
      <c r="C333" s="1">
        <v>9</v>
      </c>
      <c r="D333" s="6">
        <v>85460</v>
      </c>
      <c r="E333" s="1" t="s">
        <v>215</v>
      </c>
      <c r="F333" s="1" t="str">
        <f t="shared" ref="F333:F385" si="29">RIGHT(E333, LEN(E333) - 6)</f>
        <v>C01</v>
      </c>
      <c r="G333" s="1" t="s">
        <v>216</v>
      </c>
      <c r="H333" s="1" t="s">
        <v>486</v>
      </c>
      <c r="I333" s="1">
        <v>2024</v>
      </c>
      <c r="J333" s="1" t="s">
        <v>500</v>
      </c>
      <c r="P333" s="1" t="s">
        <v>490</v>
      </c>
      <c r="Q333" s="1">
        <v>0</v>
      </c>
      <c r="R333" s="1">
        <v>2</v>
      </c>
      <c r="S333" s="1">
        <v>2</v>
      </c>
    </row>
    <row r="334" spans="1:19" ht="14.25" hidden="1" customHeight="1" x14ac:dyDescent="0.2">
      <c r="A334" s="1" t="s">
        <v>607</v>
      </c>
      <c r="B334" s="1" t="s">
        <v>485</v>
      </c>
      <c r="C334" s="1">
        <v>11</v>
      </c>
      <c r="D334" s="6">
        <v>85460</v>
      </c>
      <c r="E334" s="1" t="s">
        <v>247</v>
      </c>
      <c r="F334" s="1" t="str">
        <f t="shared" si="29"/>
        <v>C16</v>
      </c>
      <c r="G334" s="1" t="s">
        <v>494</v>
      </c>
      <c r="H334" s="1" t="s">
        <v>486</v>
      </c>
      <c r="I334" s="1">
        <v>2024</v>
      </c>
      <c r="J334" s="1" t="s">
        <v>500</v>
      </c>
      <c r="P334" s="1" t="s">
        <v>490</v>
      </c>
      <c r="Q334" s="1">
        <v>0</v>
      </c>
      <c r="R334" s="1">
        <v>5</v>
      </c>
      <c r="S334" s="1">
        <v>5</v>
      </c>
    </row>
    <row r="335" spans="1:19" ht="14.25" hidden="1" customHeight="1" x14ac:dyDescent="0.2">
      <c r="A335" s="1" t="s">
        <v>608</v>
      </c>
      <c r="B335" s="1" t="s">
        <v>609</v>
      </c>
      <c r="C335" s="1">
        <v>12</v>
      </c>
      <c r="D335" s="6">
        <v>10000</v>
      </c>
      <c r="E335" s="1" t="s">
        <v>171</v>
      </c>
      <c r="F335" s="1" t="str">
        <f t="shared" si="29"/>
        <v>A04</v>
      </c>
      <c r="G335" s="1" t="s">
        <v>610</v>
      </c>
      <c r="H335" s="1" t="s">
        <v>486</v>
      </c>
      <c r="I335" s="1">
        <v>2024</v>
      </c>
      <c r="J335" s="1" t="s">
        <v>519</v>
      </c>
      <c r="K335" s="1" t="s">
        <v>489</v>
      </c>
      <c r="L335" s="1" t="s">
        <v>489</v>
      </c>
      <c r="Q335" s="1">
        <v>6</v>
      </c>
    </row>
    <row r="336" spans="1:19" ht="14.25" hidden="1" customHeight="1" x14ac:dyDescent="0.2">
      <c r="A336" s="1" t="s">
        <v>611</v>
      </c>
      <c r="B336" s="1" t="s">
        <v>609</v>
      </c>
      <c r="C336" s="1">
        <v>11</v>
      </c>
      <c r="D336" s="6">
        <v>49203</v>
      </c>
      <c r="E336" s="1" t="s">
        <v>171</v>
      </c>
      <c r="F336" s="1" t="str">
        <f t="shared" si="29"/>
        <v>A04</v>
      </c>
      <c r="G336" s="1" t="s">
        <v>610</v>
      </c>
      <c r="H336" s="1" t="s">
        <v>486</v>
      </c>
      <c r="I336" s="1">
        <v>2024</v>
      </c>
      <c r="J336" s="1" t="s">
        <v>529</v>
      </c>
      <c r="K336" s="1" t="s">
        <v>489</v>
      </c>
      <c r="L336" s="1" t="s">
        <v>489</v>
      </c>
      <c r="Q336" s="1">
        <v>2</v>
      </c>
    </row>
    <row r="337" spans="1:17" ht="14.25" hidden="1" customHeight="1" x14ac:dyDescent="0.2">
      <c r="A337" s="1" t="s">
        <v>612</v>
      </c>
      <c r="B337" s="1" t="s">
        <v>609</v>
      </c>
      <c r="C337" s="1">
        <v>11</v>
      </c>
      <c r="D337" s="6">
        <v>8990</v>
      </c>
      <c r="E337" s="1" t="s">
        <v>169</v>
      </c>
      <c r="F337" s="1" t="str">
        <f t="shared" si="29"/>
        <v>A03</v>
      </c>
      <c r="G337" s="1" t="s">
        <v>170</v>
      </c>
      <c r="H337" s="1" t="s">
        <v>486</v>
      </c>
      <c r="I337" s="1">
        <v>2024</v>
      </c>
      <c r="J337" s="1" t="s">
        <v>519</v>
      </c>
      <c r="Q337" s="1">
        <v>1</v>
      </c>
    </row>
    <row r="338" spans="1:17" ht="14.25" hidden="1" customHeight="1" x14ac:dyDescent="0.2">
      <c r="A338" s="1" t="s">
        <v>613</v>
      </c>
      <c r="B338" s="1" t="s">
        <v>609</v>
      </c>
      <c r="C338" s="1">
        <v>11</v>
      </c>
      <c r="D338" s="6">
        <v>21000</v>
      </c>
      <c r="E338" s="1" t="s">
        <v>169</v>
      </c>
      <c r="F338" s="1" t="str">
        <f t="shared" si="29"/>
        <v>A03</v>
      </c>
      <c r="G338" s="1" t="s">
        <v>170</v>
      </c>
      <c r="H338" s="1" t="s">
        <v>486</v>
      </c>
      <c r="I338" s="1">
        <v>2024</v>
      </c>
      <c r="J338" s="1" t="s">
        <v>614</v>
      </c>
      <c r="Q338" s="1">
        <v>1</v>
      </c>
    </row>
    <row r="339" spans="1:17" ht="14.25" hidden="1" customHeight="1" x14ac:dyDescent="0.2">
      <c r="A339" s="1" t="s">
        <v>615</v>
      </c>
      <c r="B339" s="1" t="s">
        <v>609</v>
      </c>
      <c r="C339" s="1">
        <v>11</v>
      </c>
      <c r="D339" s="6">
        <v>16500</v>
      </c>
      <c r="E339" s="1" t="s">
        <v>169</v>
      </c>
      <c r="F339" s="1" t="str">
        <f t="shared" si="29"/>
        <v>A03</v>
      </c>
      <c r="G339" s="1" t="s">
        <v>170</v>
      </c>
      <c r="H339" s="1" t="s">
        <v>486</v>
      </c>
      <c r="I339" s="1">
        <v>2024</v>
      </c>
      <c r="J339" s="1" t="s">
        <v>616</v>
      </c>
      <c r="Q339" s="1">
        <v>15</v>
      </c>
    </row>
    <row r="340" spans="1:17" ht="14.25" hidden="1" customHeight="1" x14ac:dyDescent="0.2">
      <c r="A340" s="1" t="s">
        <v>617</v>
      </c>
      <c r="B340" s="1" t="s">
        <v>609</v>
      </c>
      <c r="C340" s="1">
        <v>11</v>
      </c>
      <c r="D340" s="6">
        <v>49977</v>
      </c>
      <c r="E340" s="1" t="s">
        <v>169</v>
      </c>
      <c r="F340" s="1" t="str">
        <f t="shared" si="29"/>
        <v>A03</v>
      </c>
      <c r="G340" s="1" t="s">
        <v>170</v>
      </c>
      <c r="H340" s="1" t="s">
        <v>486</v>
      </c>
      <c r="I340" s="1">
        <v>2024</v>
      </c>
      <c r="J340" s="1" t="s">
        <v>618</v>
      </c>
      <c r="Q340" s="1">
        <v>2</v>
      </c>
    </row>
    <row r="341" spans="1:17" ht="14.25" hidden="1" customHeight="1" x14ac:dyDescent="0.2">
      <c r="A341" s="1" t="s">
        <v>619</v>
      </c>
      <c r="B341" s="1" t="s">
        <v>609</v>
      </c>
      <c r="C341" s="1">
        <v>11</v>
      </c>
      <c r="D341" s="6">
        <v>50000</v>
      </c>
      <c r="E341" s="1" t="s">
        <v>169</v>
      </c>
      <c r="F341" s="1" t="str">
        <f t="shared" si="29"/>
        <v>A03</v>
      </c>
      <c r="G341" s="1" t="s">
        <v>170</v>
      </c>
      <c r="H341" s="1" t="s">
        <v>486</v>
      </c>
      <c r="I341" s="1">
        <v>2024</v>
      </c>
      <c r="J341" s="1" t="s">
        <v>618</v>
      </c>
      <c r="Q341" s="1">
        <v>13</v>
      </c>
    </row>
    <row r="342" spans="1:17" ht="14.25" hidden="1" customHeight="1" x14ac:dyDescent="0.2">
      <c r="A342" s="1" t="s">
        <v>620</v>
      </c>
      <c r="B342" s="1" t="s">
        <v>609</v>
      </c>
      <c r="C342" s="1">
        <v>11</v>
      </c>
      <c r="D342" s="6">
        <v>32800</v>
      </c>
      <c r="E342" s="1" t="s">
        <v>169</v>
      </c>
      <c r="F342" s="1" t="str">
        <f t="shared" si="29"/>
        <v>A03</v>
      </c>
      <c r="G342" s="1" t="s">
        <v>170</v>
      </c>
      <c r="H342" s="1" t="s">
        <v>486</v>
      </c>
      <c r="I342" s="1">
        <v>2024</v>
      </c>
      <c r="J342" s="1" t="s">
        <v>621</v>
      </c>
      <c r="Q342" s="1">
        <v>1</v>
      </c>
    </row>
    <row r="343" spans="1:17" ht="14.25" hidden="1" customHeight="1" x14ac:dyDescent="0.2">
      <c r="A343" s="1" t="s">
        <v>622</v>
      </c>
      <c r="B343" s="1" t="s">
        <v>609</v>
      </c>
      <c r="C343" s="1">
        <v>11</v>
      </c>
      <c r="D343" s="6">
        <v>8000</v>
      </c>
      <c r="E343" s="1" t="s">
        <v>169</v>
      </c>
      <c r="F343" s="1" t="str">
        <f t="shared" si="29"/>
        <v>A03</v>
      </c>
      <c r="G343" s="1" t="s">
        <v>170</v>
      </c>
      <c r="H343" s="1" t="s">
        <v>486</v>
      </c>
      <c r="I343" s="1">
        <v>2024</v>
      </c>
      <c r="J343" s="1" t="s">
        <v>519</v>
      </c>
      <c r="Q343" s="1">
        <v>1</v>
      </c>
    </row>
    <row r="344" spans="1:17" ht="14.25" hidden="1" customHeight="1" x14ac:dyDescent="0.2">
      <c r="A344" s="1" t="s">
        <v>623</v>
      </c>
      <c r="B344" s="1" t="s">
        <v>609</v>
      </c>
      <c r="C344" s="1">
        <v>11</v>
      </c>
      <c r="D344" s="6">
        <v>4830</v>
      </c>
      <c r="E344" s="1" t="s">
        <v>169</v>
      </c>
      <c r="F344" s="1" t="str">
        <f t="shared" si="29"/>
        <v>A03</v>
      </c>
      <c r="G344" s="1" t="s">
        <v>170</v>
      </c>
      <c r="H344" s="1" t="s">
        <v>486</v>
      </c>
      <c r="I344" s="1">
        <v>2024</v>
      </c>
      <c r="J344" s="1" t="s">
        <v>519</v>
      </c>
      <c r="Q344" s="1">
        <v>1</v>
      </c>
    </row>
    <row r="345" spans="1:17" ht="14.25" hidden="1" customHeight="1" x14ac:dyDescent="0.2">
      <c r="A345" s="1" t="s">
        <v>624</v>
      </c>
      <c r="B345" s="1" t="s">
        <v>609</v>
      </c>
      <c r="C345" s="1">
        <v>11</v>
      </c>
      <c r="D345" s="6">
        <v>15245.78</v>
      </c>
      <c r="E345" s="1" t="s">
        <v>169</v>
      </c>
      <c r="F345" s="1" t="str">
        <f t="shared" si="29"/>
        <v>A03</v>
      </c>
      <c r="G345" s="1" t="s">
        <v>170</v>
      </c>
      <c r="H345" s="1" t="s">
        <v>486</v>
      </c>
      <c r="I345" s="1">
        <v>2024</v>
      </c>
      <c r="J345" s="1" t="s">
        <v>519</v>
      </c>
      <c r="Q345" s="1">
        <v>1</v>
      </c>
    </row>
    <row r="346" spans="1:17" ht="14.25" hidden="1" customHeight="1" x14ac:dyDescent="0.2">
      <c r="A346" s="1" t="s">
        <v>625</v>
      </c>
      <c r="B346" s="1" t="s">
        <v>609</v>
      </c>
      <c r="C346" s="1">
        <v>11</v>
      </c>
      <c r="D346" s="6">
        <v>12100</v>
      </c>
      <c r="E346" s="1" t="s">
        <v>169</v>
      </c>
      <c r="F346" s="1" t="str">
        <f t="shared" si="29"/>
        <v>A03</v>
      </c>
      <c r="G346" s="1" t="s">
        <v>170</v>
      </c>
      <c r="H346" s="1" t="s">
        <v>486</v>
      </c>
      <c r="I346" s="1">
        <v>2024</v>
      </c>
      <c r="J346" s="1" t="s">
        <v>519</v>
      </c>
      <c r="Q346" s="1">
        <v>1</v>
      </c>
    </row>
    <row r="347" spans="1:17" ht="14.25" hidden="1" customHeight="1" x14ac:dyDescent="0.2">
      <c r="A347" s="1" t="s">
        <v>626</v>
      </c>
      <c r="B347" s="1" t="s">
        <v>609</v>
      </c>
      <c r="C347" s="1">
        <v>11</v>
      </c>
      <c r="D347" s="6">
        <v>50000</v>
      </c>
      <c r="E347" s="1" t="s">
        <v>169</v>
      </c>
      <c r="F347" s="1" t="str">
        <f t="shared" si="29"/>
        <v>A03</v>
      </c>
      <c r="G347" s="1" t="s">
        <v>170</v>
      </c>
      <c r="H347" s="1" t="s">
        <v>486</v>
      </c>
      <c r="I347" s="1">
        <v>2024</v>
      </c>
      <c r="J347" s="1" t="s">
        <v>616</v>
      </c>
      <c r="Q347" s="1">
        <v>1</v>
      </c>
    </row>
    <row r="348" spans="1:17" ht="14.25" hidden="1" customHeight="1" x14ac:dyDescent="0.2">
      <c r="A348" s="1" t="s">
        <v>627</v>
      </c>
      <c r="B348" s="1" t="s">
        <v>609</v>
      </c>
      <c r="C348" s="1">
        <v>11</v>
      </c>
      <c r="D348" s="6">
        <v>26060</v>
      </c>
      <c r="E348" s="1" t="s">
        <v>169</v>
      </c>
      <c r="F348" s="1" t="str">
        <f t="shared" si="29"/>
        <v>A03</v>
      </c>
      <c r="G348" s="1" t="s">
        <v>170</v>
      </c>
      <c r="H348" s="1" t="s">
        <v>486</v>
      </c>
      <c r="I348" s="1">
        <v>2024</v>
      </c>
      <c r="J348" s="1" t="s">
        <v>628</v>
      </c>
      <c r="Q348" s="1">
        <v>1</v>
      </c>
    </row>
    <row r="349" spans="1:17" ht="14.25" hidden="1" customHeight="1" x14ac:dyDescent="0.2">
      <c r="A349" s="1" t="s">
        <v>629</v>
      </c>
      <c r="B349" s="1" t="s">
        <v>609</v>
      </c>
      <c r="C349" s="1">
        <v>11</v>
      </c>
      <c r="D349" s="6">
        <v>24100</v>
      </c>
      <c r="E349" s="1" t="s">
        <v>169</v>
      </c>
      <c r="F349" s="1" t="str">
        <f t="shared" si="29"/>
        <v>A03</v>
      </c>
      <c r="G349" s="1" t="s">
        <v>170</v>
      </c>
      <c r="H349" s="1" t="s">
        <v>486</v>
      </c>
      <c r="I349" s="1">
        <v>2024</v>
      </c>
      <c r="J349" s="1" t="s">
        <v>630</v>
      </c>
      <c r="Q349" s="1">
        <v>3</v>
      </c>
    </row>
    <row r="350" spans="1:17" ht="14.25" hidden="1" customHeight="1" x14ac:dyDescent="0.2">
      <c r="A350" s="1" t="s">
        <v>631</v>
      </c>
      <c r="B350" s="1" t="s">
        <v>609</v>
      </c>
      <c r="C350" s="1">
        <v>11</v>
      </c>
      <c r="D350" s="6">
        <v>31324.26</v>
      </c>
      <c r="E350" s="1" t="s">
        <v>169</v>
      </c>
      <c r="F350" s="1" t="str">
        <f t="shared" si="29"/>
        <v>A03</v>
      </c>
      <c r="G350" s="1" t="s">
        <v>170</v>
      </c>
      <c r="H350" s="1" t="s">
        <v>486</v>
      </c>
      <c r="I350" s="1">
        <v>2024</v>
      </c>
      <c r="J350" s="1" t="s">
        <v>614</v>
      </c>
      <c r="Q350" s="1">
        <v>1</v>
      </c>
    </row>
    <row r="351" spans="1:17" ht="14.25" hidden="1" customHeight="1" x14ac:dyDescent="0.2">
      <c r="A351" s="1" t="s">
        <v>632</v>
      </c>
      <c r="B351" s="1" t="s">
        <v>609</v>
      </c>
      <c r="C351" s="1">
        <v>11</v>
      </c>
      <c r="D351" s="6">
        <v>25709.07</v>
      </c>
      <c r="E351" s="1" t="s">
        <v>169</v>
      </c>
      <c r="F351" s="1" t="str">
        <f t="shared" si="29"/>
        <v>A03</v>
      </c>
      <c r="G351" s="1" t="s">
        <v>170</v>
      </c>
      <c r="H351" s="1" t="s">
        <v>486</v>
      </c>
      <c r="I351" s="1">
        <v>2024</v>
      </c>
      <c r="J351" s="1" t="s">
        <v>633</v>
      </c>
      <c r="Q351" s="1">
        <v>1</v>
      </c>
    </row>
    <row r="352" spans="1:17" ht="14.25" hidden="1" customHeight="1" x14ac:dyDescent="0.2">
      <c r="A352" s="1" t="s">
        <v>634</v>
      </c>
      <c r="B352" s="1" t="s">
        <v>609</v>
      </c>
      <c r="C352" s="1">
        <v>11</v>
      </c>
      <c r="D352" s="6">
        <v>30720</v>
      </c>
      <c r="E352" s="1" t="s">
        <v>169</v>
      </c>
      <c r="F352" s="1" t="str">
        <f t="shared" si="29"/>
        <v>A03</v>
      </c>
      <c r="G352" s="1" t="s">
        <v>170</v>
      </c>
      <c r="H352" s="1" t="s">
        <v>486</v>
      </c>
      <c r="I352" s="1">
        <v>2024</v>
      </c>
      <c r="J352" s="1" t="s">
        <v>519</v>
      </c>
      <c r="Q352" s="1">
        <v>1</v>
      </c>
    </row>
    <row r="353" spans="1:17" ht="14.25" hidden="1" customHeight="1" x14ac:dyDescent="0.2">
      <c r="A353" s="1" t="s">
        <v>635</v>
      </c>
      <c r="B353" s="1" t="s">
        <v>609</v>
      </c>
      <c r="C353" s="1">
        <v>11</v>
      </c>
      <c r="D353" s="6">
        <v>19964</v>
      </c>
      <c r="E353" s="1" t="s">
        <v>169</v>
      </c>
      <c r="F353" s="1" t="str">
        <f t="shared" si="29"/>
        <v>A03</v>
      </c>
      <c r="G353" s="1" t="s">
        <v>170</v>
      </c>
      <c r="H353" s="1" t="s">
        <v>486</v>
      </c>
      <c r="I353" s="1">
        <v>2024</v>
      </c>
      <c r="J353" s="1" t="s">
        <v>519</v>
      </c>
      <c r="Q353" s="1">
        <v>1</v>
      </c>
    </row>
    <row r="354" spans="1:17" ht="14.25" hidden="1" customHeight="1" x14ac:dyDescent="0.2">
      <c r="A354" s="1" t="s">
        <v>636</v>
      </c>
      <c r="B354" s="1" t="s">
        <v>609</v>
      </c>
      <c r="C354" s="1">
        <v>11</v>
      </c>
      <c r="D354" s="6">
        <v>39229</v>
      </c>
      <c r="E354" s="1" t="s">
        <v>169</v>
      </c>
      <c r="F354" s="1" t="str">
        <f t="shared" si="29"/>
        <v>A03</v>
      </c>
      <c r="G354" s="1" t="s">
        <v>170</v>
      </c>
      <c r="H354" s="1" t="s">
        <v>486</v>
      </c>
      <c r="I354" s="1">
        <v>2024</v>
      </c>
      <c r="J354" s="1" t="s">
        <v>630</v>
      </c>
      <c r="Q354" s="1">
        <v>1</v>
      </c>
    </row>
    <row r="355" spans="1:17" ht="14.25" hidden="1" customHeight="1" x14ac:dyDescent="0.2">
      <c r="A355" s="1" t="s">
        <v>637</v>
      </c>
      <c r="B355" s="1" t="s">
        <v>609</v>
      </c>
      <c r="C355" s="1">
        <v>11</v>
      </c>
      <c r="D355" s="6">
        <v>5300</v>
      </c>
      <c r="E355" s="1" t="s">
        <v>169</v>
      </c>
      <c r="F355" s="1" t="str">
        <f t="shared" si="29"/>
        <v>A03</v>
      </c>
      <c r="G355" s="1" t="s">
        <v>170</v>
      </c>
      <c r="H355" s="1" t="s">
        <v>486</v>
      </c>
      <c r="I355" s="1">
        <v>2024</v>
      </c>
      <c r="J355" s="1" t="s">
        <v>519</v>
      </c>
      <c r="Q355" s="1">
        <v>1</v>
      </c>
    </row>
    <row r="356" spans="1:17" ht="14.25" hidden="1" customHeight="1" x14ac:dyDescent="0.2">
      <c r="A356" s="1" t="s">
        <v>638</v>
      </c>
      <c r="B356" s="1" t="s">
        <v>609</v>
      </c>
      <c r="C356" s="1">
        <v>11</v>
      </c>
      <c r="D356" s="6">
        <v>46558</v>
      </c>
      <c r="E356" s="1" t="s">
        <v>169</v>
      </c>
      <c r="F356" s="1" t="str">
        <f t="shared" si="29"/>
        <v>A03</v>
      </c>
      <c r="G356" s="1" t="s">
        <v>170</v>
      </c>
      <c r="H356" s="1" t="s">
        <v>486</v>
      </c>
      <c r="I356" s="1">
        <v>2024</v>
      </c>
      <c r="J356" s="1" t="s">
        <v>616</v>
      </c>
      <c r="Q356" s="1">
        <v>1</v>
      </c>
    </row>
    <row r="357" spans="1:17" ht="14.25" hidden="1" customHeight="1" x14ac:dyDescent="0.2">
      <c r="A357" s="1" t="s">
        <v>639</v>
      </c>
      <c r="B357" s="1" t="s">
        <v>609</v>
      </c>
      <c r="C357" s="1">
        <v>12</v>
      </c>
      <c r="D357" s="6">
        <v>51480</v>
      </c>
      <c r="E357" s="1" t="s">
        <v>169</v>
      </c>
      <c r="F357" s="1" t="str">
        <f t="shared" si="29"/>
        <v>A03</v>
      </c>
      <c r="G357" s="1" t="s">
        <v>170</v>
      </c>
      <c r="H357" s="1" t="s">
        <v>486</v>
      </c>
      <c r="I357" s="1">
        <v>2024</v>
      </c>
      <c r="J357" s="1" t="s">
        <v>616</v>
      </c>
      <c r="Q357" s="1">
        <v>1</v>
      </c>
    </row>
    <row r="358" spans="1:17" ht="14.25" hidden="1" customHeight="1" x14ac:dyDescent="0.2">
      <c r="A358" s="1" t="s">
        <v>138</v>
      </c>
      <c r="B358" s="1" t="s">
        <v>609</v>
      </c>
      <c r="C358" s="1">
        <v>12</v>
      </c>
      <c r="D358" s="6">
        <v>49576</v>
      </c>
      <c r="E358" s="1" t="s">
        <v>169</v>
      </c>
      <c r="F358" s="1" t="str">
        <f t="shared" si="29"/>
        <v>A03</v>
      </c>
      <c r="G358" s="1" t="s">
        <v>170</v>
      </c>
      <c r="H358" s="1" t="s">
        <v>486</v>
      </c>
      <c r="I358" s="1">
        <v>2024</v>
      </c>
      <c r="J358" s="1" t="s">
        <v>640</v>
      </c>
      <c r="Q358" s="1">
        <v>1</v>
      </c>
    </row>
    <row r="359" spans="1:17" ht="14.25" hidden="1" customHeight="1" x14ac:dyDescent="0.2">
      <c r="A359" s="1" t="s">
        <v>641</v>
      </c>
      <c r="B359" s="1" t="s">
        <v>609</v>
      </c>
      <c r="C359" s="1">
        <v>12</v>
      </c>
      <c r="D359" s="6">
        <v>48429.61</v>
      </c>
      <c r="E359" s="1" t="s">
        <v>169</v>
      </c>
      <c r="F359" s="1" t="str">
        <f t="shared" si="29"/>
        <v>A03</v>
      </c>
      <c r="G359" s="1" t="s">
        <v>170</v>
      </c>
      <c r="H359" s="1" t="s">
        <v>486</v>
      </c>
      <c r="I359" s="1">
        <v>2024</v>
      </c>
      <c r="J359" s="1" t="s">
        <v>618</v>
      </c>
      <c r="Q359" s="1">
        <v>1</v>
      </c>
    </row>
    <row r="360" spans="1:17" ht="14.25" hidden="1" customHeight="1" x14ac:dyDescent="0.2">
      <c r="A360" s="1" t="s">
        <v>642</v>
      </c>
      <c r="B360" s="1" t="s">
        <v>609</v>
      </c>
      <c r="C360" s="1">
        <v>12</v>
      </c>
      <c r="D360" s="6">
        <v>37245.47</v>
      </c>
      <c r="E360" s="1" t="s">
        <v>169</v>
      </c>
      <c r="F360" s="1" t="str">
        <f t="shared" si="29"/>
        <v>A03</v>
      </c>
      <c r="G360" s="1" t="s">
        <v>170</v>
      </c>
      <c r="H360" s="1" t="s">
        <v>486</v>
      </c>
      <c r="I360" s="1">
        <v>2024</v>
      </c>
      <c r="J360" s="1" t="s">
        <v>643</v>
      </c>
      <c r="Q360" s="1">
        <v>1</v>
      </c>
    </row>
    <row r="361" spans="1:17" ht="14.25" hidden="1" customHeight="1" x14ac:dyDescent="0.2">
      <c r="A361" s="1" t="s">
        <v>644</v>
      </c>
      <c r="B361" s="1" t="s">
        <v>609</v>
      </c>
      <c r="C361" s="1">
        <v>12</v>
      </c>
      <c r="D361" s="6">
        <v>48118</v>
      </c>
      <c r="E361" s="1" t="s">
        <v>169</v>
      </c>
      <c r="F361" s="1" t="str">
        <f t="shared" si="29"/>
        <v>A03</v>
      </c>
      <c r="G361" s="1" t="s">
        <v>170</v>
      </c>
      <c r="H361" s="1" t="s">
        <v>486</v>
      </c>
      <c r="I361" s="1">
        <v>2024</v>
      </c>
      <c r="J361" s="1" t="s">
        <v>614</v>
      </c>
      <c r="Q361" s="1">
        <v>2</v>
      </c>
    </row>
    <row r="362" spans="1:17" ht="14.25" hidden="1" customHeight="1" x14ac:dyDescent="0.2">
      <c r="A362" s="1" t="s">
        <v>611</v>
      </c>
      <c r="B362" s="1" t="s">
        <v>609</v>
      </c>
      <c r="C362" s="1">
        <v>11</v>
      </c>
      <c r="D362" s="6">
        <v>49203</v>
      </c>
      <c r="E362" s="1" t="s">
        <v>167</v>
      </c>
      <c r="F362" s="1" t="str">
        <f t="shared" si="29"/>
        <v>A02</v>
      </c>
      <c r="G362" s="1" t="s">
        <v>543</v>
      </c>
      <c r="H362" s="1" t="s">
        <v>486</v>
      </c>
      <c r="I362" s="1">
        <v>2024</v>
      </c>
      <c r="J362" s="1" t="s">
        <v>628</v>
      </c>
      <c r="Q362" s="1">
        <v>2</v>
      </c>
    </row>
    <row r="363" spans="1:17" ht="14.25" hidden="1" customHeight="1" x14ac:dyDescent="0.2">
      <c r="A363" s="1" t="s">
        <v>645</v>
      </c>
      <c r="B363" s="1" t="s">
        <v>609</v>
      </c>
      <c r="C363" s="1">
        <v>11</v>
      </c>
      <c r="D363" s="6">
        <v>49844.17</v>
      </c>
      <c r="E363" s="1" t="s">
        <v>164</v>
      </c>
      <c r="F363" s="1" t="str">
        <f t="shared" si="29"/>
        <v>A01</v>
      </c>
      <c r="G363" s="1" t="s">
        <v>646</v>
      </c>
      <c r="H363" s="1" t="s">
        <v>486</v>
      </c>
      <c r="I363" s="1">
        <v>2024</v>
      </c>
      <c r="J363" s="1" t="s">
        <v>640</v>
      </c>
      <c r="K363" s="1" t="s">
        <v>489</v>
      </c>
      <c r="L363" s="1" t="s">
        <v>489</v>
      </c>
      <c r="Q363" s="1">
        <v>12</v>
      </c>
    </row>
    <row r="364" spans="1:17" ht="14.25" hidden="1" customHeight="1" x14ac:dyDescent="0.2">
      <c r="A364" s="1" t="s">
        <v>647</v>
      </c>
      <c r="B364" s="1" t="s">
        <v>609</v>
      </c>
      <c r="C364" s="1">
        <v>11</v>
      </c>
      <c r="D364" s="6">
        <v>49909.08</v>
      </c>
      <c r="E364" s="1" t="s">
        <v>164</v>
      </c>
      <c r="F364" s="1" t="str">
        <f t="shared" si="29"/>
        <v>A01</v>
      </c>
      <c r="G364" s="1" t="s">
        <v>646</v>
      </c>
      <c r="H364" s="1" t="s">
        <v>486</v>
      </c>
      <c r="I364" s="1">
        <v>2024</v>
      </c>
      <c r="J364" s="1" t="s">
        <v>648</v>
      </c>
      <c r="K364" s="1" t="s">
        <v>489</v>
      </c>
      <c r="L364" s="1" t="s">
        <v>489</v>
      </c>
      <c r="Q364" s="1">
        <v>67</v>
      </c>
    </row>
    <row r="365" spans="1:17" ht="14.25" hidden="1" customHeight="1" x14ac:dyDescent="0.2">
      <c r="A365" s="1" t="s">
        <v>649</v>
      </c>
      <c r="B365" s="1" t="s">
        <v>609</v>
      </c>
      <c r="C365" s="1">
        <v>11</v>
      </c>
      <c r="D365" s="6">
        <v>49768</v>
      </c>
      <c r="E365" s="1" t="s">
        <v>164</v>
      </c>
      <c r="F365" s="1" t="str">
        <f t="shared" si="29"/>
        <v>A01</v>
      </c>
      <c r="G365" s="1" t="s">
        <v>646</v>
      </c>
      <c r="H365" s="1" t="s">
        <v>486</v>
      </c>
      <c r="I365" s="1">
        <v>2024</v>
      </c>
      <c r="J365" s="1" t="s">
        <v>496</v>
      </c>
      <c r="K365" s="1" t="s">
        <v>489</v>
      </c>
      <c r="L365" s="1" t="s">
        <v>489</v>
      </c>
      <c r="Q365" s="1">
        <v>6</v>
      </c>
    </row>
    <row r="366" spans="1:17" ht="14.25" hidden="1" customHeight="1" x14ac:dyDescent="0.2">
      <c r="A366" s="1" t="s">
        <v>608</v>
      </c>
      <c r="B366" s="1" t="s">
        <v>609</v>
      </c>
      <c r="C366" s="1">
        <v>11</v>
      </c>
      <c r="D366" s="6">
        <v>10000</v>
      </c>
      <c r="E366" s="1" t="s">
        <v>164</v>
      </c>
      <c r="F366" s="1" t="str">
        <f t="shared" si="29"/>
        <v>A01</v>
      </c>
      <c r="G366" s="1" t="s">
        <v>646</v>
      </c>
      <c r="H366" s="1" t="s">
        <v>486</v>
      </c>
      <c r="I366" s="1">
        <v>2024</v>
      </c>
      <c r="J366" s="1" t="s">
        <v>519</v>
      </c>
      <c r="K366" s="1" t="s">
        <v>489</v>
      </c>
      <c r="L366" s="1" t="s">
        <v>489</v>
      </c>
      <c r="Q366" s="1">
        <v>8</v>
      </c>
    </row>
    <row r="367" spans="1:17" ht="14.25" hidden="1" customHeight="1" x14ac:dyDescent="0.2">
      <c r="A367" s="1" t="s">
        <v>650</v>
      </c>
      <c r="B367" s="1" t="s">
        <v>609</v>
      </c>
      <c r="C367" s="1">
        <v>11</v>
      </c>
      <c r="D367" s="6">
        <v>23729</v>
      </c>
      <c r="E367" s="1" t="s">
        <v>164</v>
      </c>
      <c r="F367" s="1" t="str">
        <f t="shared" si="29"/>
        <v>A01</v>
      </c>
      <c r="G367" s="1" t="s">
        <v>646</v>
      </c>
      <c r="H367" s="1" t="s">
        <v>486</v>
      </c>
      <c r="I367" s="1">
        <v>2024</v>
      </c>
      <c r="J367" s="1" t="s">
        <v>614</v>
      </c>
      <c r="K367" s="1" t="s">
        <v>489</v>
      </c>
      <c r="L367" s="1" t="s">
        <v>489</v>
      </c>
      <c r="Q367" s="1">
        <v>50</v>
      </c>
    </row>
    <row r="368" spans="1:17" ht="14.25" hidden="1" customHeight="1" x14ac:dyDescent="0.2">
      <c r="A368" s="1" t="s">
        <v>651</v>
      </c>
      <c r="B368" s="1" t="s">
        <v>609</v>
      </c>
      <c r="C368" s="1">
        <v>11</v>
      </c>
      <c r="D368" s="6">
        <v>33627</v>
      </c>
      <c r="E368" s="1" t="s">
        <v>164</v>
      </c>
      <c r="F368" s="1" t="str">
        <f t="shared" si="29"/>
        <v>A01</v>
      </c>
      <c r="G368" s="1" t="s">
        <v>646</v>
      </c>
      <c r="H368" s="1" t="s">
        <v>486</v>
      </c>
      <c r="I368" s="1">
        <v>2024</v>
      </c>
      <c r="J368" s="1" t="s">
        <v>628</v>
      </c>
      <c r="K368" s="1" t="s">
        <v>489</v>
      </c>
      <c r="L368" s="1" t="s">
        <v>489</v>
      </c>
      <c r="Q368" s="1">
        <v>2</v>
      </c>
    </row>
    <row r="369" spans="1:17" ht="14.25" hidden="1" customHeight="1" x14ac:dyDescent="0.2">
      <c r="A369" s="1" t="s">
        <v>652</v>
      </c>
      <c r="B369" s="1" t="s">
        <v>609</v>
      </c>
      <c r="C369" s="1">
        <v>11</v>
      </c>
      <c r="D369" s="6">
        <v>39127</v>
      </c>
      <c r="E369" s="1" t="s">
        <v>164</v>
      </c>
      <c r="F369" s="1" t="str">
        <f t="shared" si="29"/>
        <v>A01</v>
      </c>
      <c r="G369" s="1" t="s">
        <v>646</v>
      </c>
      <c r="H369" s="1" t="s">
        <v>486</v>
      </c>
      <c r="I369" s="1">
        <v>2024</v>
      </c>
      <c r="J369" s="1" t="s">
        <v>572</v>
      </c>
      <c r="K369" s="1" t="s">
        <v>489</v>
      </c>
      <c r="L369" s="1" t="s">
        <v>489</v>
      </c>
      <c r="Q369" s="1">
        <v>7</v>
      </c>
    </row>
    <row r="370" spans="1:17" ht="14.25" hidden="1" customHeight="1" x14ac:dyDescent="0.2">
      <c r="A370" s="1" t="s">
        <v>653</v>
      </c>
      <c r="B370" s="1" t="s">
        <v>609</v>
      </c>
      <c r="C370" s="1">
        <v>11</v>
      </c>
      <c r="D370" s="6">
        <v>49998</v>
      </c>
      <c r="E370" s="1" t="s">
        <v>164</v>
      </c>
      <c r="F370" s="1" t="str">
        <f t="shared" si="29"/>
        <v>A01</v>
      </c>
      <c r="G370" s="1" t="s">
        <v>646</v>
      </c>
      <c r="H370" s="1" t="s">
        <v>486</v>
      </c>
      <c r="I370" s="1">
        <v>2024</v>
      </c>
      <c r="J370" s="1" t="s">
        <v>572</v>
      </c>
      <c r="K370" s="1" t="s">
        <v>489</v>
      </c>
      <c r="L370" s="1" t="s">
        <v>489</v>
      </c>
      <c r="Q370" s="1">
        <v>3</v>
      </c>
    </row>
    <row r="371" spans="1:17" ht="14.25" hidden="1" customHeight="1" x14ac:dyDescent="0.2">
      <c r="A371" s="1" t="s">
        <v>654</v>
      </c>
      <c r="B371" s="1" t="s">
        <v>609</v>
      </c>
      <c r="C371" s="1">
        <v>11</v>
      </c>
      <c r="D371" s="6">
        <v>38741</v>
      </c>
      <c r="E371" s="1" t="s">
        <v>164</v>
      </c>
      <c r="F371" s="1" t="str">
        <f t="shared" si="29"/>
        <v>A01</v>
      </c>
      <c r="G371" s="1" t="s">
        <v>646</v>
      </c>
      <c r="H371" s="1" t="s">
        <v>486</v>
      </c>
      <c r="I371" s="1">
        <v>2024</v>
      </c>
      <c r="J371" s="1" t="s">
        <v>572</v>
      </c>
      <c r="K371" s="1" t="s">
        <v>489</v>
      </c>
      <c r="L371" s="1" t="s">
        <v>489</v>
      </c>
      <c r="Q371" s="1">
        <v>4</v>
      </c>
    </row>
    <row r="372" spans="1:17" ht="14.25" hidden="1" customHeight="1" x14ac:dyDescent="0.2">
      <c r="A372" s="1" t="s">
        <v>655</v>
      </c>
      <c r="B372" s="1" t="s">
        <v>609</v>
      </c>
      <c r="C372" s="1">
        <v>11</v>
      </c>
      <c r="D372" s="6">
        <v>49896</v>
      </c>
      <c r="E372" s="1" t="s">
        <v>164</v>
      </c>
      <c r="F372" s="1" t="str">
        <f t="shared" si="29"/>
        <v>A01</v>
      </c>
      <c r="G372" s="1" t="s">
        <v>646</v>
      </c>
      <c r="H372" s="1" t="s">
        <v>486</v>
      </c>
      <c r="I372" s="1">
        <v>2024</v>
      </c>
      <c r="J372" s="1" t="s">
        <v>572</v>
      </c>
      <c r="K372" s="1" t="s">
        <v>489</v>
      </c>
      <c r="L372" s="1" t="s">
        <v>489</v>
      </c>
      <c r="Q372" s="1">
        <v>8</v>
      </c>
    </row>
    <row r="373" spans="1:17" ht="14.25" hidden="1" customHeight="1" x14ac:dyDescent="0.2">
      <c r="A373" s="1" t="s">
        <v>656</v>
      </c>
      <c r="B373" s="1" t="s">
        <v>609</v>
      </c>
      <c r="C373" s="1">
        <v>11</v>
      </c>
      <c r="D373" s="6">
        <v>48024</v>
      </c>
      <c r="E373" s="1" t="s">
        <v>164</v>
      </c>
      <c r="F373" s="1" t="str">
        <f t="shared" si="29"/>
        <v>A01</v>
      </c>
      <c r="G373" s="1" t="s">
        <v>646</v>
      </c>
      <c r="H373" s="1" t="s">
        <v>486</v>
      </c>
      <c r="I373" s="1">
        <v>2024</v>
      </c>
      <c r="J373" s="1" t="s">
        <v>572</v>
      </c>
      <c r="K373" s="1" t="s">
        <v>489</v>
      </c>
      <c r="L373" s="1" t="s">
        <v>489</v>
      </c>
      <c r="Q373" s="1">
        <v>4</v>
      </c>
    </row>
    <row r="374" spans="1:17" ht="14.25" hidden="1" customHeight="1" x14ac:dyDescent="0.2">
      <c r="A374" s="1" t="s">
        <v>632</v>
      </c>
      <c r="B374" s="1" t="s">
        <v>609</v>
      </c>
      <c r="C374" s="1">
        <v>11</v>
      </c>
      <c r="D374" s="6">
        <v>25709.07</v>
      </c>
      <c r="E374" s="1" t="s">
        <v>164</v>
      </c>
      <c r="F374" s="1" t="str">
        <f t="shared" si="29"/>
        <v>A01</v>
      </c>
      <c r="G374" s="1" t="s">
        <v>646</v>
      </c>
      <c r="H374" s="1" t="s">
        <v>486</v>
      </c>
      <c r="I374" s="1">
        <v>2024</v>
      </c>
      <c r="J374" s="1" t="s">
        <v>633</v>
      </c>
      <c r="K374" s="1" t="s">
        <v>489</v>
      </c>
      <c r="L374" s="1" t="s">
        <v>489</v>
      </c>
      <c r="Q374" s="1">
        <v>8</v>
      </c>
    </row>
    <row r="375" spans="1:17" ht="14.25" hidden="1" customHeight="1" x14ac:dyDescent="0.2">
      <c r="A375" s="1" t="s">
        <v>657</v>
      </c>
      <c r="B375" s="1" t="s">
        <v>609</v>
      </c>
      <c r="C375" s="1">
        <v>11</v>
      </c>
      <c r="D375" s="6">
        <v>49917.599999999999</v>
      </c>
      <c r="E375" s="1" t="s">
        <v>164</v>
      </c>
      <c r="F375" s="1" t="str">
        <f t="shared" si="29"/>
        <v>A01</v>
      </c>
      <c r="G375" s="1" t="s">
        <v>646</v>
      </c>
      <c r="H375" s="1" t="s">
        <v>486</v>
      </c>
      <c r="I375" s="1">
        <v>2024</v>
      </c>
      <c r="J375" s="1" t="s">
        <v>658</v>
      </c>
      <c r="K375" s="1" t="s">
        <v>489</v>
      </c>
      <c r="L375" s="1" t="s">
        <v>489</v>
      </c>
      <c r="Q375" s="1">
        <v>4</v>
      </c>
    </row>
    <row r="376" spans="1:17" ht="14.25" hidden="1" customHeight="1" x14ac:dyDescent="0.2">
      <c r="A376" s="1" t="s">
        <v>659</v>
      </c>
      <c r="B376" s="1" t="s">
        <v>609</v>
      </c>
      <c r="C376" s="1">
        <v>11</v>
      </c>
      <c r="D376" s="6">
        <v>39302.5</v>
      </c>
      <c r="E376" s="1" t="s">
        <v>164</v>
      </c>
      <c r="F376" s="1" t="str">
        <f t="shared" si="29"/>
        <v>A01</v>
      </c>
      <c r="G376" s="1" t="s">
        <v>646</v>
      </c>
      <c r="H376" s="1" t="s">
        <v>486</v>
      </c>
      <c r="I376" s="1">
        <v>2024</v>
      </c>
      <c r="J376" s="1" t="s">
        <v>633</v>
      </c>
      <c r="K376" s="1" t="s">
        <v>489</v>
      </c>
      <c r="L376" s="1" t="s">
        <v>489</v>
      </c>
      <c r="Q376" s="1">
        <v>2</v>
      </c>
    </row>
    <row r="377" spans="1:17" ht="14.25" hidden="1" customHeight="1" x14ac:dyDescent="0.2">
      <c r="A377" s="1" t="s">
        <v>660</v>
      </c>
      <c r="B377" s="1" t="s">
        <v>609</v>
      </c>
      <c r="C377" s="1">
        <v>11</v>
      </c>
      <c r="D377" s="6">
        <v>49248</v>
      </c>
      <c r="E377" s="1" t="s">
        <v>164</v>
      </c>
      <c r="F377" s="1" t="str">
        <f t="shared" si="29"/>
        <v>A01</v>
      </c>
      <c r="G377" s="1" t="s">
        <v>646</v>
      </c>
      <c r="H377" s="1" t="s">
        <v>486</v>
      </c>
      <c r="I377" s="1">
        <v>2024</v>
      </c>
      <c r="J377" s="1" t="s">
        <v>648</v>
      </c>
      <c r="K377" s="1" t="s">
        <v>489</v>
      </c>
      <c r="L377" s="1" t="s">
        <v>489</v>
      </c>
      <c r="Q377" s="1">
        <v>1</v>
      </c>
    </row>
    <row r="378" spans="1:17" ht="14.25" hidden="1" customHeight="1" x14ac:dyDescent="0.2">
      <c r="A378" s="1" t="s">
        <v>661</v>
      </c>
      <c r="B378" s="1" t="s">
        <v>609</v>
      </c>
      <c r="C378" s="1">
        <v>12</v>
      </c>
      <c r="D378" s="6">
        <v>41480.379999999997</v>
      </c>
      <c r="E378" s="1" t="s">
        <v>164</v>
      </c>
      <c r="F378" s="1" t="str">
        <f t="shared" si="29"/>
        <v>A01</v>
      </c>
      <c r="G378" s="1" t="s">
        <v>646</v>
      </c>
      <c r="H378" s="1" t="s">
        <v>486</v>
      </c>
      <c r="I378" s="1">
        <v>2024</v>
      </c>
      <c r="J378" s="1" t="s">
        <v>643</v>
      </c>
      <c r="K378" s="1" t="s">
        <v>489</v>
      </c>
      <c r="L378" s="1" t="s">
        <v>489</v>
      </c>
      <c r="Q378" s="1">
        <v>1</v>
      </c>
    </row>
    <row r="379" spans="1:17" ht="14.25" hidden="1" customHeight="1" x14ac:dyDescent="0.2">
      <c r="A379" s="1" t="s">
        <v>662</v>
      </c>
      <c r="B379" s="1" t="s">
        <v>609</v>
      </c>
      <c r="C379" s="1">
        <v>12</v>
      </c>
      <c r="D379" s="6">
        <v>24569.5</v>
      </c>
      <c r="E379" s="1" t="s">
        <v>164</v>
      </c>
      <c r="F379" s="1" t="str">
        <f t="shared" si="29"/>
        <v>A01</v>
      </c>
      <c r="G379" s="1" t="s">
        <v>646</v>
      </c>
      <c r="H379" s="1" t="s">
        <v>486</v>
      </c>
      <c r="I379" s="1">
        <v>2024</v>
      </c>
      <c r="J379" s="1" t="s">
        <v>614</v>
      </c>
      <c r="K379" s="1" t="s">
        <v>489</v>
      </c>
      <c r="L379" s="1" t="s">
        <v>489</v>
      </c>
      <c r="Q379" s="1">
        <v>1</v>
      </c>
    </row>
    <row r="380" spans="1:17" ht="14.25" hidden="1" customHeight="1" x14ac:dyDescent="0.2">
      <c r="A380" s="1" t="s">
        <v>663</v>
      </c>
      <c r="B380" s="1" t="s">
        <v>609</v>
      </c>
      <c r="C380" s="1">
        <v>12</v>
      </c>
      <c r="D380" s="6">
        <v>38657</v>
      </c>
      <c r="E380" s="1" t="s">
        <v>164</v>
      </c>
      <c r="F380" s="1" t="str">
        <f t="shared" si="29"/>
        <v>A01</v>
      </c>
      <c r="G380" s="1" t="s">
        <v>646</v>
      </c>
      <c r="H380" s="1" t="s">
        <v>486</v>
      </c>
      <c r="I380" s="1">
        <v>2024</v>
      </c>
      <c r="J380" s="1" t="s">
        <v>628</v>
      </c>
      <c r="K380" s="1" t="s">
        <v>489</v>
      </c>
      <c r="L380" s="1" t="s">
        <v>489</v>
      </c>
      <c r="Q380" s="1">
        <v>14</v>
      </c>
    </row>
    <row r="381" spans="1:17" ht="14.25" hidden="1" customHeight="1" x14ac:dyDescent="0.2">
      <c r="A381" s="1" t="s">
        <v>664</v>
      </c>
      <c r="B381" s="1" t="s">
        <v>609</v>
      </c>
      <c r="C381" s="1">
        <v>12</v>
      </c>
      <c r="D381" s="6">
        <v>48501</v>
      </c>
      <c r="E381" s="1" t="s">
        <v>164</v>
      </c>
      <c r="F381" s="1" t="str">
        <f t="shared" si="29"/>
        <v>A01</v>
      </c>
      <c r="G381" s="1" t="s">
        <v>646</v>
      </c>
      <c r="H381" s="1" t="s">
        <v>486</v>
      </c>
      <c r="I381" s="1">
        <v>2024</v>
      </c>
      <c r="J381" s="1" t="s">
        <v>521</v>
      </c>
      <c r="K381" s="1" t="s">
        <v>489</v>
      </c>
      <c r="L381" s="1" t="s">
        <v>489</v>
      </c>
      <c r="Q381" s="1">
        <v>3</v>
      </c>
    </row>
    <row r="382" spans="1:17" ht="14.25" hidden="1" customHeight="1" x14ac:dyDescent="0.2">
      <c r="A382" s="1" t="s">
        <v>611</v>
      </c>
      <c r="B382" s="1" t="s">
        <v>609</v>
      </c>
      <c r="C382" s="1">
        <v>12</v>
      </c>
      <c r="D382" s="6">
        <v>49203</v>
      </c>
      <c r="E382" s="1" t="s">
        <v>164</v>
      </c>
      <c r="F382" s="1" t="str">
        <f t="shared" si="29"/>
        <v>A01</v>
      </c>
      <c r="G382" s="1" t="s">
        <v>646</v>
      </c>
      <c r="H382" s="1" t="s">
        <v>486</v>
      </c>
      <c r="I382" s="1">
        <v>2024</v>
      </c>
      <c r="J382" s="1" t="s">
        <v>628</v>
      </c>
      <c r="K382" s="1" t="s">
        <v>489</v>
      </c>
      <c r="L382" s="1" t="s">
        <v>489</v>
      </c>
      <c r="Q382" s="1">
        <v>3</v>
      </c>
    </row>
    <row r="383" spans="1:17" ht="14.25" hidden="1" customHeight="1" x14ac:dyDescent="0.2">
      <c r="A383" s="1" t="s">
        <v>644</v>
      </c>
      <c r="B383" s="1" t="s">
        <v>609</v>
      </c>
      <c r="C383" s="1">
        <v>12</v>
      </c>
      <c r="D383" s="6">
        <v>48118</v>
      </c>
      <c r="E383" s="1" t="s">
        <v>164</v>
      </c>
      <c r="F383" s="1" t="str">
        <f t="shared" si="29"/>
        <v>A01</v>
      </c>
      <c r="G383" s="1" t="s">
        <v>646</v>
      </c>
      <c r="H383" s="1" t="s">
        <v>486</v>
      </c>
      <c r="I383" s="1">
        <v>2024</v>
      </c>
      <c r="J383" s="1" t="s">
        <v>614</v>
      </c>
      <c r="K383" s="1" t="s">
        <v>489</v>
      </c>
      <c r="L383" s="1" t="s">
        <v>489</v>
      </c>
      <c r="Q383" s="1">
        <v>6</v>
      </c>
    </row>
    <row r="384" spans="1:17" ht="14.25" hidden="1" customHeight="1" x14ac:dyDescent="0.2">
      <c r="A384" s="1" t="s">
        <v>665</v>
      </c>
      <c r="B384" s="1" t="s">
        <v>609</v>
      </c>
      <c r="C384" s="1">
        <v>12</v>
      </c>
      <c r="D384" s="6">
        <v>42582.65</v>
      </c>
      <c r="E384" s="1" t="s">
        <v>164</v>
      </c>
      <c r="F384" s="1" t="str">
        <f t="shared" si="29"/>
        <v>A01</v>
      </c>
      <c r="G384" s="1" t="s">
        <v>646</v>
      </c>
      <c r="H384" s="1" t="s">
        <v>486</v>
      </c>
      <c r="I384" s="1">
        <v>2024</v>
      </c>
      <c r="J384" s="1" t="s">
        <v>628</v>
      </c>
      <c r="K384" s="1" t="s">
        <v>489</v>
      </c>
      <c r="L384" s="1" t="s">
        <v>489</v>
      </c>
      <c r="Q384" s="1">
        <v>16</v>
      </c>
    </row>
    <row r="385" spans="1:20" ht="14.25" hidden="1" customHeight="1" x14ac:dyDescent="0.2">
      <c r="A385" s="1" t="s">
        <v>666</v>
      </c>
      <c r="B385" s="1" t="s">
        <v>609</v>
      </c>
      <c r="C385" s="1">
        <v>11</v>
      </c>
      <c r="D385" s="6">
        <v>44988</v>
      </c>
      <c r="E385" s="1" t="s">
        <v>164</v>
      </c>
      <c r="F385" s="1" t="str">
        <f t="shared" si="29"/>
        <v>A01</v>
      </c>
      <c r="G385" s="1" t="s">
        <v>646</v>
      </c>
      <c r="H385" s="1" t="s">
        <v>486</v>
      </c>
      <c r="I385" s="1">
        <v>2024</v>
      </c>
      <c r="J385" s="1" t="s">
        <v>572</v>
      </c>
      <c r="K385" s="1" t="s">
        <v>489</v>
      </c>
      <c r="L385" s="1" t="s">
        <v>489</v>
      </c>
      <c r="Q385" s="1">
        <v>7</v>
      </c>
    </row>
    <row r="386" spans="1:20" ht="14.25" hidden="1" customHeight="1" x14ac:dyDescent="0.2">
      <c r="A386" s="1" t="s">
        <v>613</v>
      </c>
      <c r="B386" s="1" t="s">
        <v>609</v>
      </c>
      <c r="C386" s="1">
        <v>11</v>
      </c>
      <c r="D386" s="6">
        <v>21000</v>
      </c>
      <c r="E386" s="1" t="s">
        <v>197</v>
      </c>
      <c r="F386" s="1" t="str">
        <f>RIGHT(E386, LEN(E386) - 6)</f>
        <v>B05</v>
      </c>
      <c r="G386" s="1" t="s">
        <v>198</v>
      </c>
      <c r="H386" s="1" t="s">
        <v>486</v>
      </c>
      <c r="I386" s="1">
        <v>2024</v>
      </c>
      <c r="J386" s="1" t="s">
        <v>614</v>
      </c>
      <c r="K386" s="1" t="s">
        <v>489</v>
      </c>
      <c r="L386" s="1" t="s">
        <v>489</v>
      </c>
      <c r="Q386" s="1">
        <v>65</v>
      </c>
    </row>
    <row r="387" spans="1:20" ht="14.25" hidden="1" customHeight="1" x14ac:dyDescent="0.2">
      <c r="A387" s="1" t="s">
        <v>615</v>
      </c>
      <c r="B387" s="1" t="s">
        <v>609</v>
      </c>
      <c r="C387" s="1">
        <v>11</v>
      </c>
      <c r="D387" s="6">
        <v>16500</v>
      </c>
      <c r="E387" s="1" t="s">
        <v>197</v>
      </c>
      <c r="F387" s="1" t="str">
        <f>RIGHT(E387, LEN(E387) - 6)</f>
        <v>B05</v>
      </c>
      <c r="G387" s="1" t="s">
        <v>198</v>
      </c>
      <c r="H387" s="1" t="s">
        <v>486</v>
      </c>
      <c r="I387" s="1">
        <v>2024</v>
      </c>
      <c r="J387" s="1" t="s">
        <v>487</v>
      </c>
      <c r="K387" s="1" t="s">
        <v>489</v>
      </c>
      <c r="L387" s="1" t="s">
        <v>489</v>
      </c>
      <c r="T387" s="1" t="s">
        <v>667</v>
      </c>
    </row>
    <row r="388" spans="1:20" ht="14.25" hidden="1" customHeight="1" x14ac:dyDescent="0.2">
      <c r="A388" s="1" t="s">
        <v>617</v>
      </c>
      <c r="B388" s="1" t="s">
        <v>609</v>
      </c>
      <c r="C388" s="1">
        <v>11</v>
      </c>
      <c r="D388" s="6">
        <v>49977</v>
      </c>
      <c r="E388" s="1" t="s">
        <v>197</v>
      </c>
      <c r="F388" s="1" t="str">
        <f t="shared" ref="F388:F396" si="30">RIGHT(E388, LEN(E388) - 6)</f>
        <v>B05</v>
      </c>
      <c r="G388" s="1" t="s">
        <v>198</v>
      </c>
      <c r="H388" s="1" t="s">
        <v>486</v>
      </c>
      <c r="I388" s="1">
        <v>2024</v>
      </c>
      <c r="J388" s="1" t="s">
        <v>618</v>
      </c>
      <c r="K388" s="1" t="s">
        <v>489</v>
      </c>
      <c r="L388" s="1" t="s">
        <v>489</v>
      </c>
      <c r="Q388" s="1">
        <v>15</v>
      </c>
    </row>
    <row r="389" spans="1:20" ht="14.25" hidden="1" customHeight="1" x14ac:dyDescent="0.2">
      <c r="A389" s="1" t="s">
        <v>619</v>
      </c>
      <c r="B389" s="1" t="s">
        <v>609</v>
      </c>
      <c r="C389" s="1">
        <v>11</v>
      </c>
      <c r="D389" s="6">
        <v>50000</v>
      </c>
      <c r="E389" s="1" t="s">
        <v>197</v>
      </c>
      <c r="F389" s="1" t="str">
        <f t="shared" si="30"/>
        <v>B05</v>
      </c>
      <c r="G389" s="1" t="s">
        <v>198</v>
      </c>
      <c r="H389" s="1" t="s">
        <v>486</v>
      </c>
      <c r="I389" s="1">
        <v>2024</v>
      </c>
      <c r="J389" s="1" t="s">
        <v>618</v>
      </c>
      <c r="K389" s="1" t="s">
        <v>489</v>
      </c>
      <c r="L389" s="1" t="s">
        <v>489</v>
      </c>
      <c r="Q389" s="1">
        <v>635</v>
      </c>
    </row>
    <row r="390" spans="1:20" ht="14.25" hidden="1" customHeight="1" x14ac:dyDescent="0.2">
      <c r="A390" s="1" t="s">
        <v>608</v>
      </c>
      <c r="B390" s="1" t="s">
        <v>609</v>
      </c>
      <c r="C390" s="1">
        <v>11</v>
      </c>
      <c r="D390" s="6">
        <v>10000</v>
      </c>
      <c r="E390" s="1" t="s">
        <v>197</v>
      </c>
      <c r="F390" s="1" t="str">
        <f t="shared" si="30"/>
        <v>B05</v>
      </c>
      <c r="G390" s="1" t="s">
        <v>198</v>
      </c>
      <c r="H390" s="1" t="s">
        <v>486</v>
      </c>
      <c r="I390" s="1">
        <v>2024</v>
      </c>
      <c r="J390" s="1" t="s">
        <v>519</v>
      </c>
      <c r="K390" s="1" t="s">
        <v>489</v>
      </c>
      <c r="L390" s="1" t="s">
        <v>489</v>
      </c>
      <c r="Q390" s="1">
        <v>2</v>
      </c>
    </row>
    <row r="391" spans="1:20" ht="14.25" hidden="1" customHeight="1" x14ac:dyDescent="0.2">
      <c r="A391" s="1" t="s">
        <v>651</v>
      </c>
      <c r="B391" s="1" t="s">
        <v>609</v>
      </c>
      <c r="C391" s="1">
        <v>11</v>
      </c>
      <c r="D391" s="6">
        <v>33627</v>
      </c>
      <c r="E391" s="1" t="s">
        <v>197</v>
      </c>
      <c r="F391" s="1" t="str">
        <f t="shared" si="30"/>
        <v>B05</v>
      </c>
      <c r="G391" s="1" t="s">
        <v>198</v>
      </c>
      <c r="H391" s="1" t="s">
        <v>486</v>
      </c>
      <c r="I391" s="1">
        <v>2024</v>
      </c>
      <c r="J391" s="1" t="s">
        <v>628</v>
      </c>
      <c r="K391" s="1" t="s">
        <v>489</v>
      </c>
      <c r="L391" s="1" t="s">
        <v>489</v>
      </c>
      <c r="Q391" s="1">
        <v>15</v>
      </c>
    </row>
    <row r="392" spans="1:20" ht="14.25" hidden="1" customHeight="1" x14ac:dyDescent="0.2">
      <c r="A392" s="1" t="s">
        <v>653</v>
      </c>
      <c r="B392" s="1" t="s">
        <v>609</v>
      </c>
      <c r="C392" s="1">
        <v>11</v>
      </c>
      <c r="D392" s="6">
        <v>49998</v>
      </c>
      <c r="E392" s="1" t="s">
        <v>197</v>
      </c>
      <c r="F392" s="1" t="str">
        <f t="shared" si="30"/>
        <v>B05</v>
      </c>
      <c r="G392" s="1" t="s">
        <v>198</v>
      </c>
      <c r="H392" s="1" t="s">
        <v>486</v>
      </c>
      <c r="I392" s="1">
        <v>2024</v>
      </c>
      <c r="J392" s="1" t="s">
        <v>572</v>
      </c>
      <c r="K392" s="1" t="s">
        <v>489</v>
      </c>
      <c r="L392" s="1" t="s">
        <v>489</v>
      </c>
      <c r="Q392" s="1">
        <v>3</v>
      </c>
    </row>
    <row r="393" spans="1:20" ht="14.25" hidden="1" customHeight="1" x14ac:dyDescent="0.2">
      <c r="A393" s="1" t="s">
        <v>655</v>
      </c>
      <c r="B393" s="1" t="s">
        <v>609</v>
      </c>
      <c r="C393" s="1">
        <v>11</v>
      </c>
      <c r="D393" s="6">
        <v>49896</v>
      </c>
      <c r="E393" s="1" t="s">
        <v>197</v>
      </c>
      <c r="F393" s="1" t="str">
        <f t="shared" si="30"/>
        <v>B05</v>
      </c>
      <c r="G393" s="1" t="s">
        <v>198</v>
      </c>
      <c r="H393" s="1" t="s">
        <v>486</v>
      </c>
      <c r="I393" s="1">
        <v>2024</v>
      </c>
      <c r="J393" s="1" t="s">
        <v>572</v>
      </c>
      <c r="K393" s="1" t="s">
        <v>489</v>
      </c>
      <c r="L393" s="1" t="s">
        <v>489</v>
      </c>
      <c r="Q393" s="1">
        <v>4</v>
      </c>
    </row>
    <row r="394" spans="1:20" ht="14.25" hidden="1" customHeight="1" x14ac:dyDescent="0.2">
      <c r="A394" s="1" t="s">
        <v>636</v>
      </c>
      <c r="B394" s="1" t="s">
        <v>609</v>
      </c>
      <c r="C394" s="1">
        <v>11</v>
      </c>
      <c r="D394" s="6">
        <v>39229</v>
      </c>
      <c r="E394" s="1" t="s">
        <v>197</v>
      </c>
      <c r="F394" s="1" t="str">
        <f t="shared" si="30"/>
        <v>B05</v>
      </c>
      <c r="G394" s="1" t="s">
        <v>198</v>
      </c>
      <c r="H394" s="1" t="s">
        <v>486</v>
      </c>
      <c r="I394" s="1">
        <v>2024</v>
      </c>
      <c r="J394" s="1" t="s">
        <v>630</v>
      </c>
      <c r="K394" s="1" t="s">
        <v>489</v>
      </c>
      <c r="L394" s="1" t="s">
        <v>489</v>
      </c>
      <c r="Q394" s="1">
        <v>11</v>
      </c>
    </row>
    <row r="395" spans="1:20" ht="14.25" hidden="1" customHeight="1" x14ac:dyDescent="0.2">
      <c r="A395" s="1" t="s">
        <v>660</v>
      </c>
      <c r="B395" s="1" t="s">
        <v>609</v>
      </c>
      <c r="C395" s="1">
        <v>12</v>
      </c>
      <c r="D395" s="6">
        <v>49248</v>
      </c>
      <c r="E395" s="1" t="s">
        <v>197</v>
      </c>
      <c r="F395" s="1" t="str">
        <f t="shared" si="30"/>
        <v>B05</v>
      </c>
      <c r="G395" s="1" t="s">
        <v>198</v>
      </c>
      <c r="H395" s="1" t="s">
        <v>486</v>
      </c>
      <c r="I395" s="1">
        <v>2024</v>
      </c>
      <c r="J395" s="1" t="s">
        <v>648</v>
      </c>
      <c r="K395" s="1" t="s">
        <v>489</v>
      </c>
      <c r="L395" s="1" t="s">
        <v>489</v>
      </c>
      <c r="Q395" s="1">
        <v>5</v>
      </c>
    </row>
    <row r="396" spans="1:20" ht="14.25" hidden="1" customHeight="1" x14ac:dyDescent="0.2">
      <c r="A396" s="1" t="s">
        <v>642</v>
      </c>
      <c r="B396" s="1" t="s">
        <v>609</v>
      </c>
      <c r="C396" s="1">
        <v>11</v>
      </c>
      <c r="D396" s="6">
        <v>37245.47</v>
      </c>
      <c r="E396" s="1" t="s">
        <v>197</v>
      </c>
      <c r="F396" s="1" t="str">
        <f t="shared" si="30"/>
        <v>B05</v>
      </c>
      <c r="G396" s="1" t="s">
        <v>198</v>
      </c>
      <c r="H396" s="1" t="s">
        <v>486</v>
      </c>
      <c r="I396" s="1">
        <v>2024</v>
      </c>
      <c r="J396" s="1" t="s">
        <v>643</v>
      </c>
      <c r="K396" s="1" t="s">
        <v>489</v>
      </c>
      <c r="L396" s="1" t="s">
        <v>489</v>
      </c>
      <c r="Q396" s="1">
        <v>12</v>
      </c>
    </row>
    <row r="397" spans="1:20" ht="14.25" hidden="1" customHeight="1" x14ac:dyDescent="0.2">
      <c r="A397" s="1" t="s">
        <v>620</v>
      </c>
      <c r="B397" s="1" t="s">
        <v>609</v>
      </c>
      <c r="C397" s="1">
        <v>11</v>
      </c>
      <c r="D397" s="6">
        <v>32800</v>
      </c>
      <c r="E397" s="1" t="s">
        <v>188</v>
      </c>
      <c r="F397" s="1" t="str">
        <f>RIGHT(E397, LEN(E397) - 6)</f>
        <v>B01</v>
      </c>
      <c r="G397" s="1" t="s">
        <v>668</v>
      </c>
      <c r="H397" s="1" t="s">
        <v>486</v>
      </c>
      <c r="I397" s="1">
        <v>2024</v>
      </c>
      <c r="J397" s="1" t="s">
        <v>621</v>
      </c>
      <c r="O397" s="1" t="s">
        <v>512</v>
      </c>
      <c r="Q397" s="1">
        <v>2</v>
      </c>
    </row>
    <row r="398" spans="1:20" ht="14.25" hidden="1" customHeight="1" x14ac:dyDescent="0.2">
      <c r="A398" s="1" t="s">
        <v>645</v>
      </c>
      <c r="B398" s="1" t="s">
        <v>609</v>
      </c>
      <c r="C398" s="1">
        <v>11</v>
      </c>
      <c r="D398" s="6">
        <v>49844.17</v>
      </c>
      <c r="E398" s="1" t="s">
        <v>188</v>
      </c>
      <c r="F398" s="1" t="str">
        <f>RIGHT(E398, LEN(E398) - 6)</f>
        <v>B01</v>
      </c>
      <c r="G398" s="1" t="s">
        <v>668</v>
      </c>
      <c r="H398" s="1" t="s">
        <v>486</v>
      </c>
      <c r="I398" s="1">
        <v>2024</v>
      </c>
      <c r="J398" s="1" t="s">
        <v>640</v>
      </c>
      <c r="O398" s="1" t="s">
        <v>512</v>
      </c>
      <c r="Q398" s="1">
        <v>1</v>
      </c>
    </row>
    <row r="399" spans="1:20" ht="14.25" hidden="1" customHeight="1" x14ac:dyDescent="0.2">
      <c r="A399" s="1" t="s">
        <v>625</v>
      </c>
      <c r="B399" s="1" t="s">
        <v>609</v>
      </c>
      <c r="C399" s="1">
        <v>11</v>
      </c>
      <c r="D399" s="6">
        <v>12100</v>
      </c>
      <c r="E399" s="1" t="s">
        <v>188</v>
      </c>
      <c r="F399" s="1" t="str">
        <f t="shared" ref="F399:F439" si="31">RIGHT(E399, LEN(E399) - 6)</f>
        <v>B01</v>
      </c>
      <c r="G399" s="1" t="s">
        <v>668</v>
      </c>
      <c r="H399" s="1" t="s">
        <v>486</v>
      </c>
      <c r="I399" s="1">
        <v>2024</v>
      </c>
      <c r="J399" s="1" t="s">
        <v>519</v>
      </c>
      <c r="O399" s="1" t="s">
        <v>513</v>
      </c>
      <c r="Q399" s="1">
        <v>1</v>
      </c>
    </row>
    <row r="400" spans="1:20" ht="14.25" hidden="1" customHeight="1" x14ac:dyDescent="0.2">
      <c r="A400" s="1" t="s">
        <v>669</v>
      </c>
      <c r="B400" s="1" t="s">
        <v>609</v>
      </c>
      <c r="C400" s="1">
        <v>11</v>
      </c>
      <c r="D400" s="6">
        <v>49995</v>
      </c>
      <c r="E400" s="1" t="s">
        <v>188</v>
      </c>
      <c r="F400" s="1" t="str">
        <f t="shared" si="31"/>
        <v>B01</v>
      </c>
      <c r="G400" s="1" t="s">
        <v>668</v>
      </c>
      <c r="H400" s="1" t="s">
        <v>486</v>
      </c>
      <c r="I400" s="1">
        <v>2024</v>
      </c>
      <c r="J400" s="1" t="s">
        <v>618</v>
      </c>
      <c r="O400" s="1" t="s">
        <v>512</v>
      </c>
      <c r="Q400" s="1">
        <v>1</v>
      </c>
    </row>
    <row r="401" spans="1:17" ht="14.25" hidden="1" customHeight="1" x14ac:dyDescent="0.2">
      <c r="A401" s="1" t="s">
        <v>637</v>
      </c>
      <c r="B401" s="1" t="s">
        <v>609</v>
      </c>
      <c r="C401" s="1">
        <v>12</v>
      </c>
      <c r="D401" s="6">
        <v>5300</v>
      </c>
      <c r="E401" s="1" t="s">
        <v>188</v>
      </c>
      <c r="F401" s="1" t="str">
        <f t="shared" si="31"/>
        <v>B01</v>
      </c>
      <c r="G401" s="1" t="s">
        <v>668</v>
      </c>
      <c r="H401" s="1" t="s">
        <v>486</v>
      </c>
      <c r="I401" s="1">
        <v>2024</v>
      </c>
      <c r="J401" s="1" t="s">
        <v>519</v>
      </c>
      <c r="O401" s="1" t="s">
        <v>670</v>
      </c>
      <c r="Q401" s="1">
        <v>2</v>
      </c>
    </row>
    <row r="402" spans="1:17" ht="14.25" hidden="1" customHeight="1" x14ac:dyDescent="0.2">
      <c r="A402" s="1" t="s">
        <v>644</v>
      </c>
      <c r="B402" s="1" t="s">
        <v>609</v>
      </c>
      <c r="C402" s="1">
        <v>11</v>
      </c>
      <c r="D402" s="6">
        <v>48118</v>
      </c>
      <c r="E402" s="1" t="s">
        <v>188</v>
      </c>
      <c r="F402" s="1" t="str">
        <f t="shared" si="31"/>
        <v>B01</v>
      </c>
      <c r="G402" s="1" t="s">
        <v>668</v>
      </c>
      <c r="H402" s="1" t="s">
        <v>486</v>
      </c>
      <c r="I402" s="1">
        <v>2024</v>
      </c>
      <c r="J402" s="1" t="s">
        <v>614</v>
      </c>
      <c r="O402" s="1" t="s">
        <v>512</v>
      </c>
      <c r="Q402" s="1">
        <v>26</v>
      </c>
    </row>
    <row r="403" spans="1:17" ht="14.25" hidden="1" customHeight="1" x14ac:dyDescent="0.2">
      <c r="A403" s="1" t="s">
        <v>652</v>
      </c>
      <c r="B403" s="1" t="s">
        <v>609</v>
      </c>
      <c r="C403" s="1">
        <v>11</v>
      </c>
      <c r="D403" s="6">
        <v>39127</v>
      </c>
      <c r="E403" s="1" t="s">
        <v>223</v>
      </c>
      <c r="F403" s="1" t="str">
        <f t="shared" si="31"/>
        <v>C05</v>
      </c>
      <c r="G403" s="1" t="s">
        <v>528</v>
      </c>
      <c r="H403" s="1" t="s">
        <v>486</v>
      </c>
      <c r="I403" s="1">
        <v>2024</v>
      </c>
      <c r="J403" s="1" t="s">
        <v>572</v>
      </c>
      <c r="Q403" s="1">
        <v>1</v>
      </c>
    </row>
    <row r="404" spans="1:17" ht="14.25" hidden="1" customHeight="1" x14ac:dyDescent="0.2">
      <c r="A404" s="1" t="s">
        <v>660</v>
      </c>
      <c r="B404" s="1" t="s">
        <v>609</v>
      </c>
      <c r="C404" s="1">
        <v>11</v>
      </c>
      <c r="D404" s="6">
        <v>49248</v>
      </c>
      <c r="E404" s="1" t="s">
        <v>221</v>
      </c>
      <c r="F404" s="1" t="str">
        <f t="shared" si="31"/>
        <v>C04</v>
      </c>
      <c r="G404" s="1" t="s">
        <v>530</v>
      </c>
      <c r="H404" s="1" t="s">
        <v>486</v>
      </c>
      <c r="I404" s="1">
        <v>2024</v>
      </c>
      <c r="J404" s="1" t="s">
        <v>648</v>
      </c>
      <c r="Q404" s="1">
        <v>1</v>
      </c>
    </row>
    <row r="405" spans="1:17" ht="14.25" hidden="1" customHeight="1" x14ac:dyDescent="0.2">
      <c r="A405" s="1" t="s">
        <v>625</v>
      </c>
      <c r="B405" s="1" t="s">
        <v>609</v>
      </c>
      <c r="C405" s="1">
        <v>11</v>
      </c>
      <c r="D405" s="6">
        <v>12100</v>
      </c>
      <c r="E405" s="1" t="s">
        <v>219</v>
      </c>
      <c r="F405" s="1" t="str">
        <f t="shared" si="31"/>
        <v>C03</v>
      </c>
      <c r="G405" s="1" t="s">
        <v>531</v>
      </c>
      <c r="H405" s="1" t="s">
        <v>486</v>
      </c>
      <c r="I405" s="1">
        <v>2024</v>
      </c>
      <c r="J405" s="1" t="s">
        <v>519</v>
      </c>
      <c r="Q405" s="1">
        <v>1</v>
      </c>
    </row>
    <row r="406" spans="1:17" ht="14.25" hidden="1" customHeight="1" x14ac:dyDescent="0.2">
      <c r="A406" s="1" t="s">
        <v>632</v>
      </c>
      <c r="B406" s="1" t="s">
        <v>609</v>
      </c>
      <c r="C406" s="1">
        <v>11</v>
      </c>
      <c r="D406" s="6">
        <v>25709.07</v>
      </c>
      <c r="E406" s="1" t="s">
        <v>219</v>
      </c>
      <c r="F406" s="1" t="str">
        <f t="shared" si="31"/>
        <v>C03</v>
      </c>
      <c r="G406" s="1" t="s">
        <v>531</v>
      </c>
      <c r="H406" s="1" t="s">
        <v>486</v>
      </c>
      <c r="I406" s="1">
        <v>2024</v>
      </c>
      <c r="J406" s="1" t="s">
        <v>633</v>
      </c>
      <c r="Q406" s="1">
        <v>1</v>
      </c>
    </row>
    <row r="407" spans="1:17" ht="14.25" hidden="1" customHeight="1" x14ac:dyDescent="0.2">
      <c r="A407" s="1" t="s">
        <v>637</v>
      </c>
      <c r="B407" s="1" t="s">
        <v>609</v>
      </c>
      <c r="C407" s="1">
        <v>11</v>
      </c>
      <c r="D407" s="6">
        <v>5300</v>
      </c>
      <c r="E407" s="1" t="s">
        <v>219</v>
      </c>
      <c r="F407" s="1" t="str">
        <f t="shared" si="31"/>
        <v>C03</v>
      </c>
      <c r="G407" s="1" t="s">
        <v>531</v>
      </c>
      <c r="H407" s="1" t="s">
        <v>486</v>
      </c>
      <c r="I407" s="1">
        <v>2024</v>
      </c>
      <c r="J407" s="1" t="s">
        <v>519</v>
      </c>
      <c r="Q407" s="1">
        <v>1</v>
      </c>
    </row>
    <row r="408" spans="1:17" ht="14.25" hidden="1" customHeight="1" x14ac:dyDescent="0.2">
      <c r="A408" s="1" t="s">
        <v>660</v>
      </c>
      <c r="B408" s="1" t="s">
        <v>609</v>
      </c>
      <c r="C408" s="1">
        <v>11</v>
      </c>
      <c r="D408" s="6">
        <v>49248</v>
      </c>
      <c r="E408" s="1" t="s">
        <v>219</v>
      </c>
      <c r="F408" s="1" t="str">
        <f t="shared" si="31"/>
        <v>C03</v>
      </c>
      <c r="G408" s="1" t="s">
        <v>531</v>
      </c>
      <c r="H408" s="1" t="s">
        <v>486</v>
      </c>
      <c r="I408" s="1">
        <v>2024</v>
      </c>
      <c r="J408" s="1" t="s">
        <v>648</v>
      </c>
      <c r="Q408" s="1">
        <v>1</v>
      </c>
    </row>
    <row r="409" spans="1:17" ht="14.25" hidden="1" customHeight="1" x14ac:dyDescent="0.2">
      <c r="A409" s="1" t="s">
        <v>655</v>
      </c>
      <c r="B409" s="1" t="s">
        <v>609</v>
      </c>
      <c r="C409" s="1">
        <v>12</v>
      </c>
      <c r="D409" s="6">
        <v>49896</v>
      </c>
      <c r="E409" s="1" t="s">
        <v>217</v>
      </c>
      <c r="F409" s="1" t="str">
        <f t="shared" si="31"/>
        <v>C02</v>
      </c>
      <c r="G409" s="1" t="s">
        <v>493</v>
      </c>
      <c r="H409" s="1" t="s">
        <v>486</v>
      </c>
      <c r="I409" s="1">
        <v>2024</v>
      </c>
      <c r="J409" s="1" t="s">
        <v>572</v>
      </c>
      <c r="Q409" s="1">
        <v>1</v>
      </c>
    </row>
    <row r="410" spans="1:17" ht="14.25" hidden="1" customHeight="1" x14ac:dyDescent="0.2">
      <c r="A410" s="1" t="s">
        <v>138</v>
      </c>
      <c r="B410" s="1" t="s">
        <v>609</v>
      </c>
      <c r="C410" s="1">
        <v>11</v>
      </c>
      <c r="D410" s="6">
        <v>49576</v>
      </c>
      <c r="E410" s="1" t="s">
        <v>217</v>
      </c>
      <c r="F410" s="1" t="str">
        <f t="shared" si="31"/>
        <v>C02</v>
      </c>
      <c r="G410" s="1" t="s">
        <v>493</v>
      </c>
      <c r="H410" s="1" t="s">
        <v>486</v>
      </c>
      <c r="I410" s="1">
        <v>2024</v>
      </c>
      <c r="J410" s="1" t="s">
        <v>640</v>
      </c>
      <c r="Q410" s="1">
        <v>1</v>
      </c>
    </row>
    <row r="411" spans="1:17" ht="14.25" hidden="1" customHeight="1" x14ac:dyDescent="0.2">
      <c r="A411" s="1" t="s">
        <v>612</v>
      </c>
      <c r="B411" s="1" t="s">
        <v>609</v>
      </c>
      <c r="C411" s="1">
        <v>11</v>
      </c>
      <c r="D411" s="6">
        <v>8990</v>
      </c>
      <c r="E411" s="1" t="s">
        <v>215</v>
      </c>
      <c r="F411" s="1" t="str">
        <f t="shared" si="31"/>
        <v>C01</v>
      </c>
      <c r="G411" s="1" t="s">
        <v>499</v>
      </c>
      <c r="H411" s="1" t="s">
        <v>486</v>
      </c>
      <c r="I411" s="1">
        <v>2024</v>
      </c>
      <c r="J411" s="1" t="s">
        <v>519</v>
      </c>
      <c r="Q411" s="1">
        <v>4</v>
      </c>
    </row>
    <row r="412" spans="1:17" ht="14.25" hidden="1" customHeight="1" x14ac:dyDescent="0.2">
      <c r="A412" s="1" t="s">
        <v>615</v>
      </c>
      <c r="B412" s="1" t="s">
        <v>609</v>
      </c>
      <c r="C412" s="1">
        <v>11</v>
      </c>
      <c r="D412" s="6">
        <v>16500</v>
      </c>
      <c r="E412" s="1" t="s">
        <v>215</v>
      </c>
      <c r="F412" s="1" t="str">
        <f t="shared" si="31"/>
        <v>C01</v>
      </c>
      <c r="G412" s="1" t="s">
        <v>499</v>
      </c>
      <c r="H412" s="1" t="s">
        <v>486</v>
      </c>
      <c r="I412" s="1">
        <v>2024</v>
      </c>
      <c r="J412" s="1" t="s">
        <v>487</v>
      </c>
      <c r="Q412" s="1">
        <v>1</v>
      </c>
    </row>
    <row r="413" spans="1:17" ht="14.25" hidden="1" customHeight="1" x14ac:dyDescent="0.2">
      <c r="A413" s="1" t="s">
        <v>645</v>
      </c>
      <c r="B413" s="1" t="s">
        <v>609</v>
      </c>
      <c r="C413" s="1">
        <v>11</v>
      </c>
      <c r="D413" s="6">
        <v>49844.17</v>
      </c>
      <c r="E413" s="1" t="s">
        <v>215</v>
      </c>
      <c r="F413" s="1" t="str">
        <f t="shared" si="31"/>
        <v>C01</v>
      </c>
      <c r="G413" s="1" t="s">
        <v>499</v>
      </c>
      <c r="H413" s="1" t="s">
        <v>486</v>
      </c>
      <c r="I413" s="1">
        <v>2024</v>
      </c>
      <c r="J413" s="1" t="s">
        <v>640</v>
      </c>
      <c r="Q413" s="1">
        <v>1</v>
      </c>
    </row>
    <row r="414" spans="1:17" ht="14.25" hidden="1" customHeight="1" x14ac:dyDescent="0.2">
      <c r="A414" s="1" t="s">
        <v>624</v>
      </c>
      <c r="B414" s="1" t="s">
        <v>609</v>
      </c>
      <c r="C414" s="1">
        <v>11</v>
      </c>
      <c r="D414" s="6">
        <v>15245.78</v>
      </c>
      <c r="E414" s="1" t="s">
        <v>215</v>
      </c>
      <c r="F414" s="1" t="str">
        <f t="shared" si="31"/>
        <v>C01</v>
      </c>
      <c r="G414" s="1" t="s">
        <v>499</v>
      </c>
      <c r="H414" s="1" t="s">
        <v>486</v>
      </c>
      <c r="I414" s="1">
        <v>2024</v>
      </c>
      <c r="J414" s="1" t="s">
        <v>519</v>
      </c>
      <c r="Q414" s="1">
        <v>3</v>
      </c>
    </row>
    <row r="415" spans="1:17" ht="14.25" hidden="1" customHeight="1" x14ac:dyDescent="0.2">
      <c r="A415" s="1" t="s">
        <v>627</v>
      </c>
      <c r="B415" s="1" t="s">
        <v>609</v>
      </c>
      <c r="C415" s="1">
        <v>11</v>
      </c>
      <c r="D415" s="6">
        <v>26060</v>
      </c>
      <c r="E415" s="1" t="s">
        <v>215</v>
      </c>
      <c r="F415" s="1" t="str">
        <f t="shared" si="31"/>
        <v>C01</v>
      </c>
      <c r="G415" s="1" t="s">
        <v>499</v>
      </c>
      <c r="H415" s="1" t="s">
        <v>486</v>
      </c>
      <c r="I415" s="1">
        <v>2024</v>
      </c>
      <c r="J415" s="1" t="s">
        <v>628</v>
      </c>
      <c r="Q415" s="1">
        <v>2</v>
      </c>
    </row>
    <row r="416" spans="1:17" ht="14.25" hidden="1" customHeight="1" x14ac:dyDescent="0.2">
      <c r="A416" s="1" t="s">
        <v>631</v>
      </c>
      <c r="B416" s="1" t="s">
        <v>609</v>
      </c>
      <c r="C416" s="1">
        <v>11</v>
      </c>
      <c r="D416" s="6">
        <v>31324.26</v>
      </c>
      <c r="E416" s="1" t="s">
        <v>215</v>
      </c>
      <c r="F416" s="1" t="str">
        <f t="shared" si="31"/>
        <v>C01</v>
      </c>
      <c r="G416" s="1" t="s">
        <v>499</v>
      </c>
      <c r="H416" s="1" t="s">
        <v>486</v>
      </c>
      <c r="I416" s="1">
        <v>2024</v>
      </c>
      <c r="J416" s="1" t="s">
        <v>614</v>
      </c>
      <c r="Q416" s="1">
        <v>1</v>
      </c>
    </row>
    <row r="417" spans="1:20" ht="14.25" hidden="1" customHeight="1" x14ac:dyDescent="0.2">
      <c r="A417" s="1" t="s">
        <v>671</v>
      </c>
      <c r="B417" s="1" t="s">
        <v>609</v>
      </c>
      <c r="C417" s="1">
        <v>11</v>
      </c>
      <c r="D417" s="6">
        <v>49980</v>
      </c>
      <c r="E417" s="1" t="s">
        <v>215</v>
      </c>
      <c r="F417" s="1" t="str">
        <f t="shared" si="31"/>
        <v>C01</v>
      </c>
      <c r="G417" s="1" t="s">
        <v>499</v>
      </c>
      <c r="H417" s="1" t="s">
        <v>486</v>
      </c>
      <c r="I417" s="1">
        <v>2024</v>
      </c>
      <c r="J417" s="1" t="s">
        <v>640</v>
      </c>
      <c r="Q417" s="1">
        <v>1</v>
      </c>
    </row>
    <row r="418" spans="1:20" ht="14.25" hidden="1" customHeight="1" x14ac:dyDescent="0.2">
      <c r="A418" s="1" t="s">
        <v>650</v>
      </c>
      <c r="B418" s="1" t="s">
        <v>609</v>
      </c>
      <c r="C418" s="1">
        <v>11</v>
      </c>
      <c r="D418" s="6">
        <v>23729</v>
      </c>
      <c r="E418" s="1" t="s">
        <v>215</v>
      </c>
      <c r="F418" s="1" t="str">
        <f t="shared" si="31"/>
        <v>C01</v>
      </c>
      <c r="G418" s="1" t="s">
        <v>499</v>
      </c>
      <c r="H418" s="1" t="s">
        <v>486</v>
      </c>
      <c r="I418" s="1">
        <v>2024</v>
      </c>
      <c r="J418" s="1" t="s">
        <v>614</v>
      </c>
      <c r="Q418" s="1">
        <v>4</v>
      </c>
    </row>
    <row r="419" spans="1:20" ht="14.25" hidden="1" customHeight="1" x14ac:dyDescent="0.2">
      <c r="A419" s="1" t="s">
        <v>635</v>
      </c>
      <c r="B419" s="1" t="s">
        <v>609</v>
      </c>
      <c r="C419" s="1">
        <v>11</v>
      </c>
      <c r="D419" s="6">
        <v>19964</v>
      </c>
      <c r="E419" s="1" t="s">
        <v>215</v>
      </c>
      <c r="F419" s="1" t="str">
        <f t="shared" si="31"/>
        <v>C01</v>
      </c>
      <c r="G419" s="1" t="s">
        <v>499</v>
      </c>
      <c r="H419" s="1" t="s">
        <v>486</v>
      </c>
      <c r="I419" s="1">
        <v>2024</v>
      </c>
      <c r="J419" s="1" t="s">
        <v>519</v>
      </c>
      <c r="Q419" s="1">
        <v>1</v>
      </c>
    </row>
    <row r="420" spans="1:20" ht="14.25" hidden="1" customHeight="1" x14ac:dyDescent="0.2">
      <c r="A420" s="1" t="s">
        <v>636</v>
      </c>
      <c r="B420" s="1" t="s">
        <v>609</v>
      </c>
      <c r="C420" s="1">
        <v>11</v>
      </c>
      <c r="D420" s="6">
        <v>39229</v>
      </c>
      <c r="E420" s="1" t="s">
        <v>215</v>
      </c>
      <c r="F420" s="1" t="str">
        <f t="shared" si="31"/>
        <v>C01</v>
      </c>
      <c r="G420" s="1" t="s">
        <v>499</v>
      </c>
      <c r="H420" s="1" t="s">
        <v>486</v>
      </c>
      <c r="I420" s="1">
        <v>2024</v>
      </c>
      <c r="J420" s="1" t="s">
        <v>630</v>
      </c>
      <c r="Q420" s="1">
        <v>1</v>
      </c>
    </row>
    <row r="421" spans="1:20" ht="14.25" hidden="1" customHeight="1" x14ac:dyDescent="0.2">
      <c r="A421" s="1" t="s">
        <v>661</v>
      </c>
      <c r="B421" s="1" t="s">
        <v>609</v>
      </c>
      <c r="C421" s="1">
        <v>12</v>
      </c>
      <c r="D421" s="6">
        <v>41480.379999999997</v>
      </c>
      <c r="E421" s="1" t="s">
        <v>215</v>
      </c>
      <c r="F421" s="1" t="str">
        <f t="shared" si="31"/>
        <v>C01</v>
      </c>
      <c r="G421" s="1" t="s">
        <v>499</v>
      </c>
      <c r="H421" s="1" t="s">
        <v>486</v>
      </c>
      <c r="I421" s="1">
        <v>2024</v>
      </c>
      <c r="J421" s="1" t="s">
        <v>643</v>
      </c>
      <c r="Q421" s="1">
        <v>1</v>
      </c>
    </row>
    <row r="422" spans="1:20" ht="14.25" hidden="1" customHeight="1" x14ac:dyDescent="0.2">
      <c r="A422" s="1" t="s">
        <v>666</v>
      </c>
      <c r="B422" s="1" t="s">
        <v>609</v>
      </c>
      <c r="C422" s="1">
        <v>11</v>
      </c>
      <c r="D422" s="6">
        <v>44988</v>
      </c>
      <c r="E422" s="1" t="s">
        <v>215</v>
      </c>
      <c r="F422" s="1" t="str">
        <f t="shared" si="31"/>
        <v>C01</v>
      </c>
      <c r="G422" s="1" t="s">
        <v>499</v>
      </c>
      <c r="H422" s="1" t="s">
        <v>486</v>
      </c>
      <c r="I422" s="1">
        <v>2024</v>
      </c>
      <c r="J422" s="1" t="s">
        <v>572</v>
      </c>
      <c r="Q422" s="1">
        <v>1</v>
      </c>
    </row>
    <row r="423" spans="1:20" ht="14.25" hidden="1" customHeight="1" x14ac:dyDescent="0.2">
      <c r="A423" s="1" t="s">
        <v>615</v>
      </c>
      <c r="B423" s="1" t="s">
        <v>609</v>
      </c>
      <c r="C423" s="1">
        <v>11</v>
      </c>
      <c r="D423" s="6">
        <v>16500</v>
      </c>
      <c r="E423" s="1" t="s">
        <v>259</v>
      </c>
      <c r="F423" s="1" t="str">
        <f t="shared" si="31"/>
        <v>D02</v>
      </c>
      <c r="G423" s="1" t="s">
        <v>547</v>
      </c>
      <c r="H423" s="1" t="s">
        <v>486</v>
      </c>
      <c r="I423" s="1">
        <v>2024</v>
      </c>
      <c r="J423" s="1" t="s">
        <v>487</v>
      </c>
      <c r="Q423" s="1">
        <v>5500</v>
      </c>
      <c r="T423" s="1" t="s">
        <v>672</v>
      </c>
    </row>
    <row r="424" spans="1:20" ht="14.25" hidden="1" customHeight="1" x14ac:dyDescent="0.2">
      <c r="A424" s="1" t="s">
        <v>652</v>
      </c>
      <c r="B424" s="1" t="s">
        <v>609</v>
      </c>
      <c r="C424" s="1">
        <v>11</v>
      </c>
      <c r="D424" s="6">
        <v>39127</v>
      </c>
      <c r="E424" s="1" t="s">
        <v>259</v>
      </c>
      <c r="F424" s="1" t="str">
        <f t="shared" si="31"/>
        <v>D02</v>
      </c>
      <c r="G424" s="1" t="s">
        <v>547</v>
      </c>
      <c r="H424" s="1" t="s">
        <v>486</v>
      </c>
      <c r="I424" s="1">
        <v>2024</v>
      </c>
      <c r="J424" s="1" t="s">
        <v>572</v>
      </c>
      <c r="Q424" s="1">
        <v>4300</v>
      </c>
      <c r="T424" s="1" t="s">
        <v>673</v>
      </c>
    </row>
    <row r="425" spans="1:20" ht="14.25" customHeight="1" x14ac:dyDescent="0.2">
      <c r="A425" s="1" t="s">
        <v>613</v>
      </c>
      <c r="B425" s="1" t="s">
        <v>609</v>
      </c>
      <c r="C425" s="1">
        <v>11</v>
      </c>
      <c r="D425" s="6">
        <v>21000</v>
      </c>
      <c r="E425" s="1" t="s">
        <v>257</v>
      </c>
      <c r="F425" s="1" t="str">
        <f t="shared" si="31"/>
        <v>D01</v>
      </c>
      <c r="G425" s="1" t="s">
        <v>514</v>
      </c>
      <c r="H425" s="1" t="s">
        <v>486</v>
      </c>
      <c r="I425" s="1">
        <v>2024</v>
      </c>
      <c r="J425" s="1" t="s">
        <v>614</v>
      </c>
      <c r="Q425" s="1">
        <v>9.06</v>
      </c>
    </row>
    <row r="426" spans="1:20" ht="14.25" customHeight="1" x14ac:dyDescent="0.2">
      <c r="A426" s="1" t="s">
        <v>617</v>
      </c>
      <c r="B426" s="1" t="s">
        <v>609</v>
      </c>
      <c r="C426" s="1">
        <v>11</v>
      </c>
      <c r="D426" s="6">
        <v>49977</v>
      </c>
      <c r="E426" s="1" t="s">
        <v>257</v>
      </c>
      <c r="F426" s="1" t="str">
        <f t="shared" si="31"/>
        <v>D01</v>
      </c>
      <c r="G426" s="1" t="s">
        <v>514</v>
      </c>
      <c r="H426" s="1" t="s">
        <v>486</v>
      </c>
      <c r="I426" s="1">
        <v>2024</v>
      </c>
      <c r="J426" s="1" t="s">
        <v>618</v>
      </c>
      <c r="Q426" s="1">
        <v>0.25</v>
      </c>
    </row>
    <row r="427" spans="1:20" ht="14.25" customHeight="1" x14ac:dyDescent="0.2">
      <c r="A427" s="1" t="s">
        <v>674</v>
      </c>
      <c r="B427" s="1" t="s">
        <v>609</v>
      </c>
      <c r="C427" s="1">
        <v>11</v>
      </c>
      <c r="D427" s="6">
        <v>11397.6</v>
      </c>
      <c r="E427" s="1" t="s">
        <v>257</v>
      </c>
      <c r="F427" s="1" t="str">
        <f t="shared" si="31"/>
        <v>D01</v>
      </c>
      <c r="G427" s="1" t="s">
        <v>514</v>
      </c>
      <c r="H427" s="1" t="s">
        <v>486</v>
      </c>
      <c r="I427" s="1">
        <v>2024</v>
      </c>
      <c r="J427" s="1" t="s">
        <v>614</v>
      </c>
      <c r="Q427" s="1">
        <v>230</v>
      </c>
    </row>
    <row r="428" spans="1:20" ht="14.25" customHeight="1" x14ac:dyDescent="0.2">
      <c r="A428" s="1" t="s">
        <v>619</v>
      </c>
      <c r="B428" s="1" t="s">
        <v>609</v>
      </c>
      <c r="C428" s="1">
        <v>11</v>
      </c>
      <c r="D428" s="6">
        <v>50000</v>
      </c>
      <c r="E428" s="1" t="s">
        <v>257</v>
      </c>
      <c r="F428" s="1" t="str">
        <f t="shared" si="31"/>
        <v>D01</v>
      </c>
      <c r="G428" s="1" t="s">
        <v>514</v>
      </c>
      <c r="H428" s="1" t="s">
        <v>486</v>
      </c>
      <c r="I428" s="1">
        <v>2024</v>
      </c>
      <c r="J428" s="1" t="s">
        <v>618</v>
      </c>
      <c r="Q428" s="1">
        <v>0.29799999999999999</v>
      </c>
    </row>
    <row r="429" spans="1:20" ht="14.25" customHeight="1" x14ac:dyDescent="0.2">
      <c r="A429" s="1" t="s">
        <v>622</v>
      </c>
      <c r="B429" s="1" t="s">
        <v>609</v>
      </c>
      <c r="C429" s="1">
        <v>11</v>
      </c>
      <c r="D429" s="6">
        <v>8000</v>
      </c>
      <c r="E429" s="1" t="s">
        <v>257</v>
      </c>
      <c r="F429" s="1" t="str">
        <f t="shared" si="31"/>
        <v>D01</v>
      </c>
      <c r="G429" s="1" t="s">
        <v>514</v>
      </c>
      <c r="H429" s="1" t="s">
        <v>486</v>
      </c>
      <c r="I429" s="1">
        <v>2024</v>
      </c>
      <c r="J429" s="1" t="s">
        <v>519</v>
      </c>
      <c r="Q429" s="1">
        <v>3</v>
      </c>
    </row>
    <row r="430" spans="1:20" ht="14.25" customHeight="1" x14ac:dyDescent="0.2">
      <c r="A430" s="1" t="s">
        <v>669</v>
      </c>
      <c r="B430" s="1" t="s">
        <v>609</v>
      </c>
      <c r="C430" s="1">
        <v>11</v>
      </c>
      <c r="D430" s="6">
        <v>49995</v>
      </c>
      <c r="E430" s="1" t="s">
        <v>257</v>
      </c>
      <c r="F430" s="1" t="str">
        <f t="shared" si="31"/>
        <v>D01</v>
      </c>
      <c r="G430" s="1" t="s">
        <v>514</v>
      </c>
      <c r="H430" s="1" t="s">
        <v>486</v>
      </c>
      <c r="I430" s="1">
        <v>2024</v>
      </c>
      <c r="J430" s="1" t="s">
        <v>618</v>
      </c>
      <c r="Q430" s="1">
        <v>0.4</v>
      </c>
    </row>
    <row r="431" spans="1:20" ht="14.25" customHeight="1" x14ac:dyDescent="0.2">
      <c r="A431" s="1" t="s">
        <v>629</v>
      </c>
      <c r="B431" s="1" t="s">
        <v>609</v>
      </c>
      <c r="C431" s="1">
        <v>11</v>
      </c>
      <c r="D431" s="6">
        <v>24100</v>
      </c>
      <c r="E431" s="1" t="s">
        <v>257</v>
      </c>
      <c r="F431" s="1" t="str">
        <f t="shared" si="31"/>
        <v>D01</v>
      </c>
      <c r="G431" s="1" t="s">
        <v>514</v>
      </c>
      <c r="H431" s="1" t="s">
        <v>486</v>
      </c>
      <c r="I431" s="1">
        <v>2024</v>
      </c>
      <c r="J431" s="1" t="s">
        <v>630</v>
      </c>
      <c r="T431" s="1" t="s">
        <v>675</v>
      </c>
    </row>
    <row r="432" spans="1:20" ht="14.25" customHeight="1" x14ac:dyDescent="0.2">
      <c r="A432" s="1" t="s">
        <v>655</v>
      </c>
      <c r="B432" s="1" t="s">
        <v>609</v>
      </c>
      <c r="C432" s="1">
        <v>11</v>
      </c>
      <c r="D432" s="6">
        <v>49896</v>
      </c>
      <c r="E432" s="1" t="s">
        <v>257</v>
      </c>
      <c r="F432" s="1" t="str">
        <f t="shared" si="31"/>
        <v>D01</v>
      </c>
      <c r="G432" s="1" t="s">
        <v>514</v>
      </c>
      <c r="H432" s="1" t="s">
        <v>486</v>
      </c>
      <c r="I432" s="1">
        <v>2024</v>
      </c>
      <c r="J432" s="1" t="s">
        <v>572</v>
      </c>
      <c r="Q432" s="1">
        <v>14</v>
      </c>
    </row>
    <row r="433" spans="1:20" ht="14.25" customHeight="1" x14ac:dyDescent="0.2">
      <c r="A433" s="1" t="s">
        <v>657</v>
      </c>
      <c r="B433" s="1" t="s">
        <v>609</v>
      </c>
      <c r="C433" s="1">
        <v>11</v>
      </c>
      <c r="D433" s="6">
        <v>49917.599999999999</v>
      </c>
      <c r="E433" s="1" t="s">
        <v>257</v>
      </c>
      <c r="F433" s="1" t="str">
        <f t="shared" si="31"/>
        <v>D01</v>
      </c>
      <c r="G433" s="1" t="s">
        <v>514</v>
      </c>
      <c r="H433" s="1" t="s">
        <v>486</v>
      </c>
      <c r="I433" s="1">
        <v>2024</v>
      </c>
      <c r="J433" s="1" t="s">
        <v>658</v>
      </c>
      <c r="Q433" s="1">
        <v>2</v>
      </c>
    </row>
    <row r="434" spans="1:20" ht="14.25" customHeight="1" x14ac:dyDescent="0.2">
      <c r="A434" s="1" t="s">
        <v>636</v>
      </c>
      <c r="B434" s="1" t="s">
        <v>609</v>
      </c>
      <c r="C434" s="1">
        <v>11</v>
      </c>
      <c r="D434" s="6">
        <v>39229</v>
      </c>
      <c r="E434" s="1" t="s">
        <v>257</v>
      </c>
      <c r="F434" s="1" t="str">
        <f t="shared" si="31"/>
        <v>D01</v>
      </c>
      <c r="G434" s="1" t="s">
        <v>514</v>
      </c>
      <c r="H434" s="1" t="s">
        <v>486</v>
      </c>
      <c r="I434" s="1">
        <v>2024</v>
      </c>
      <c r="J434" s="1" t="s">
        <v>630</v>
      </c>
      <c r="T434" s="1" t="s">
        <v>676</v>
      </c>
    </row>
    <row r="435" spans="1:20" ht="14.25" customHeight="1" x14ac:dyDescent="0.2">
      <c r="A435" s="1" t="s">
        <v>661</v>
      </c>
      <c r="B435" s="1" t="s">
        <v>609</v>
      </c>
      <c r="C435" s="1">
        <v>12</v>
      </c>
      <c r="D435" s="6">
        <v>41480.379999999997</v>
      </c>
      <c r="E435" s="1" t="s">
        <v>257</v>
      </c>
      <c r="F435" s="1" t="str">
        <f t="shared" si="31"/>
        <v>D01</v>
      </c>
      <c r="G435" s="1" t="s">
        <v>514</v>
      </c>
      <c r="H435" s="1" t="s">
        <v>486</v>
      </c>
      <c r="I435" s="1">
        <v>2024</v>
      </c>
      <c r="J435" s="1" t="s">
        <v>643</v>
      </c>
      <c r="Q435" s="1">
        <v>19</v>
      </c>
    </row>
    <row r="436" spans="1:20" ht="14.25" customHeight="1" x14ac:dyDescent="0.2">
      <c r="A436" s="1" t="s">
        <v>677</v>
      </c>
      <c r="B436" s="1" t="s">
        <v>609</v>
      </c>
      <c r="C436" s="1">
        <v>12</v>
      </c>
      <c r="D436" s="6">
        <v>46395</v>
      </c>
      <c r="E436" s="1" t="s">
        <v>257</v>
      </c>
      <c r="F436" s="1" t="str">
        <f t="shared" si="31"/>
        <v>D01</v>
      </c>
      <c r="G436" s="1" t="s">
        <v>514</v>
      </c>
      <c r="H436" s="1" t="s">
        <v>486</v>
      </c>
      <c r="I436" s="1">
        <v>2024</v>
      </c>
      <c r="J436" s="1" t="s">
        <v>521</v>
      </c>
      <c r="Q436" s="1">
        <v>149.41999999999999</v>
      </c>
      <c r="T436" s="1" t="s">
        <v>678</v>
      </c>
    </row>
    <row r="437" spans="1:20" ht="14.25" customHeight="1" x14ac:dyDescent="0.2">
      <c r="A437" s="1" t="s">
        <v>138</v>
      </c>
      <c r="B437" s="1" t="s">
        <v>609</v>
      </c>
      <c r="C437" s="1">
        <v>12</v>
      </c>
      <c r="D437" s="6">
        <v>49576</v>
      </c>
      <c r="E437" s="1" t="s">
        <v>257</v>
      </c>
      <c r="F437" s="1" t="str">
        <f t="shared" si="31"/>
        <v>D01</v>
      </c>
      <c r="G437" s="1" t="s">
        <v>514</v>
      </c>
      <c r="H437" s="1" t="s">
        <v>486</v>
      </c>
      <c r="I437" s="1">
        <v>2024</v>
      </c>
      <c r="J437" s="1" t="s">
        <v>640</v>
      </c>
      <c r="Q437" s="1">
        <v>200</v>
      </c>
      <c r="T437" s="1" t="s">
        <v>679</v>
      </c>
    </row>
    <row r="438" spans="1:20" ht="14.25" customHeight="1" x14ac:dyDescent="0.2">
      <c r="A438" s="1" t="s">
        <v>665</v>
      </c>
      <c r="B438" s="1" t="s">
        <v>609</v>
      </c>
      <c r="C438" s="1">
        <v>12</v>
      </c>
      <c r="D438" s="6">
        <v>42582.65</v>
      </c>
      <c r="E438" s="1" t="s">
        <v>257</v>
      </c>
      <c r="F438" s="1" t="str">
        <f t="shared" si="31"/>
        <v>D01</v>
      </c>
      <c r="G438" s="1" t="s">
        <v>514</v>
      </c>
      <c r="H438" s="1" t="s">
        <v>486</v>
      </c>
      <c r="I438" s="1">
        <v>2024</v>
      </c>
      <c r="J438" s="1" t="s">
        <v>628</v>
      </c>
      <c r="Q438" s="1">
        <v>16</v>
      </c>
    </row>
    <row r="439" spans="1:20" ht="14.25" customHeight="1" x14ac:dyDescent="0.2">
      <c r="A439" s="1" t="s">
        <v>666</v>
      </c>
      <c r="B439" s="1" t="s">
        <v>609</v>
      </c>
      <c r="C439" s="1">
        <v>12</v>
      </c>
      <c r="D439" s="6">
        <v>44988</v>
      </c>
      <c r="E439" s="1" t="s">
        <v>257</v>
      </c>
      <c r="F439" s="1" t="str">
        <f t="shared" si="31"/>
        <v>D01</v>
      </c>
      <c r="G439" s="1" t="s">
        <v>514</v>
      </c>
      <c r="H439" s="1" t="s">
        <v>486</v>
      </c>
      <c r="I439" s="1">
        <v>2024</v>
      </c>
      <c r="J439" s="1" t="s">
        <v>572</v>
      </c>
      <c r="Q439" s="1">
        <v>3</v>
      </c>
    </row>
    <row r="481" spans="17:17" ht="14.25" customHeight="1" x14ac:dyDescent="0.2">
      <c r="Q481" s="1">
        <f>SUM(128+3+12+1+2+14+8100+3+1+1+1)-Q300</f>
        <v>8266</v>
      </c>
    </row>
  </sheetData>
  <phoneticPr fontId="3" type="noConversion"/>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ignoredErrors>
    <ignoredError sqref="F302" calculatedColumn="1"/>
  </ignoredErrors>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8" operator="containsText" id="{8E21E6F0-2978-43C1-8186-A004D84041A9}">
            <xm:f>NOT(ISERROR(SEARCH(TRUE,Q337)))</xm:f>
            <xm:f>TRUE</xm:f>
            <x14:dxf>
              <font>
                <color theme="9" tint="-0.499984740745262"/>
              </font>
              <fill>
                <patternFill>
                  <bgColor theme="9" tint="0.79998168889431442"/>
                </patternFill>
              </fill>
            </x14:dxf>
          </x14:cfRule>
          <xm:sqref>Q337:Q361</xm:sqref>
        </x14:conditionalFormatting>
        <x14:conditionalFormatting xmlns:xm="http://schemas.microsoft.com/office/excel/2006/main">
          <x14:cfRule type="containsText" priority="6" operator="containsText" id="{B80588A0-448A-49FD-A47D-46DD9A2FF7AC}">
            <xm:f>NOT(ISERROR(SEARCH(TRUE,Q363)))</xm:f>
            <xm:f>TRUE</xm:f>
            <x14:dxf>
              <font>
                <color theme="9" tint="-0.499984740745262"/>
              </font>
              <fill>
                <patternFill>
                  <bgColor theme="9" tint="0.79998168889431442"/>
                </patternFill>
              </fill>
            </x14:dxf>
          </x14:cfRule>
          <xm:sqref>Q363:Q402</xm:sqref>
        </x14:conditionalFormatting>
        <x14:conditionalFormatting xmlns:xm="http://schemas.microsoft.com/office/excel/2006/main">
          <x14:cfRule type="containsText" priority="2" operator="containsText" id="{AD8E1386-7ADF-406F-9F92-52C90E7F291A}">
            <xm:f>NOT(ISERROR(SEARCH(TRUE,Q405)))</xm:f>
            <xm:f>TRUE</xm:f>
            <x14:dxf>
              <font>
                <color theme="9" tint="-0.499984740745262"/>
              </font>
              <fill>
                <patternFill>
                  <bgColor theme="9" tint="0.79998168889431442"/>
                </patternFill>
              </fill>
            </x14:dxf>
          </x14:cfRule>
          <xm:sqref>Q405:Q424</xm:sqref>
        </x14:conditionalFormatting>
        <x14:conditionalFormatting xmlns:xm="http://schemas.microsoft.com/office/excel/2006/main">
          <x14:cfRule type="containsText" priority="1" operator="containsText" id="{50D723D1-E5F9-4D73-AE77-86F37E591BAD}">
            <xm:f>NOT(ISERROR(SEARCH(TRUE,Q435)))</xm:f>
            <xm:f>TRUE</xm:f>
            <x14:dxf>
              <font>
                <color theme="9" tint="-0.499984740745262"/>
              </font>
              <fill>
                <patternFill>
                  <bgColor theme="9" tint="0.79998168889431442"/>
                </patternFill>
              </fill>
            </x14:dxf>
          </x14:cfRule>
          <xm:sqref>Q435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3D1F-1917-44C7-857A-6C60C87EB08C}">
  <dimension ref="A1:T138"/>
  <sheetViews>
    <sheetView showRuler="0" zoomScale="70" zoomScaleNormal="70" zoomScaleSheetLayoutView="400" zoomScalePageLayoutView="90" workbookViewId="0">
      <pane xSplit="1" ySplit="1" topLeftCell="C91" activePane="bottomRight" state="frozen"/>
      <selection pane="topRight" activeCell="B1" sqref="B1"/>
      <selection pane="bottomLeft" activeCell="A2" sqref="A2"/>
      <selection pane="bottomRight" activeCell="A97" sqref="A97:XFD97"/>
    </sheetView>
  </sheetViews>
  <sheetFormatPr defaultColWidth="9.28515625" defaultRowHeight="14.25" customHeight="1" x14ac:dyDescent="0.2"/>
  <cols>
    <col min="1" max="1" width="19.7109375" style="1" customWidth="1"/>
    <col min="2" max="2" width="18.7109375" style="1" customWidth="1"/>
    <col min="3" max="3" width="19.7109375" style="1" customWidth="1"/>
    <col min="4" max="4" width="17.85546875" style="1" customWidth="1"/>
    <col min="5" max="5" width="90.5703125" style="1" customWidth="1"/>
    <col min="6" max="6" width="47.7109375" style="1" customWidth="1"/>
    <col min="7" max="7" width="14.42578125" style="1" customWidth="1"/>
    <col min="8" max="8" width="12.85546875" style="1" customWidth="1"/>
    <col min="9" max="9" width="11.7109375" style="1" customWidth="1"/>
    <col min="10" max="10" width="17.85546875" style="86" customWidth="1"/>
    <col min="11" max="11" width="11.85546875" style="86" customWidth="1"/>
    <col min="12" max="12" width="20.42578125" style="86" customWidth="1"/>
    <col min="13" max="13" width="28.140625" style="293" customWidth="1"/>
    <col min="14" max="15" width="19.5703125" style="87" customWidth="1"/>
    <col min="16" max="16" width="20.5703125" style="87" customWidth="1"/>
    <col min="17" max="17" width="18.85546875" style="87" customWidth="1"/>
    <col min="18" max="18" width="47.42578125" style="87" customWidth="1"/>
    <col min="19" max="19" width="25" style="1" customWidth="1"/>
    <col min="20" max="16384" width="9.28515625" style="1"/>
  </cols>
  <sheetData>
    <row r="1" spans="1:20" ht="25.5" x14ac:dyDescent="0.2">
      <c r="A1" s="88" t="s">
        <v>333</v>
      </c>
      <c r="B1" s="88" t="s">
        <v>680</v>
      </c>
      <c r="C1" s="88" t="s">
        <v>468</v>
      </c>
      <c r="D1" s="89" t="s">
        <v>681</v>
      </c>
      <c r="E1" s="88" t="s">
        <v>334</v>
      </c>
      <c r="F1" s="4" t="s">
        <v>682</v>
      </c>
      <c r="G1" s="321" t="s">
        <v>469</v>
      </c>
      <c r="H1" s="88" t="s">
        <v>683</v>
      </c>
      <c r="I1" s="88" t="s">
        <v>684</v>
      </c>
      <c r="J1" s="90" t="s">
        <v>685</v>
      </c>
      <c r="K1" s="91" t="s">
        <v>686</v>
      </c>
      <c r="L1" s="322" t="s">
        <v>687</v>
      </c>
      <c r="M1" s="323" t="s">
        <v>688</v>
      </c>
      <c r="N1" s="92" t="s">
        <v>689</v>
      </c>
      <c r="O1" s="92" t="s">
        <v>690</v>
      </c>
      <c r="P1" s="92" t="s">
        <v>691</v>
      </c>
      <c r="Q1" s="92" t="s">
        <v>692</v>
      </c>
      <c r="R1" s="92" t="s">
        <v>335</v>
      </c>
      <c r="S1" s="89" t="s">
        <v>693</v>
      </c>
      <c r="T1" s="326" t="s">
        <v>446</v>
      </c>
    </row>
    <row r="2" spans="1:20" ht="14.25" customHeight="1" x14ac:dyDescent="0.2">
      <c r="A2" s="1" t="s">
        <v>612</v>
      </c>
      <c r="B2" s="1" t="s">
        <v>694</v>
      </c>
      <c r="C2" s="1" t="s">
        <v>695</v>
      </c>
      <c r="D2" s="1">
        <v>11</v>
      </c>
      <c r="E2" s="1" t="s">
        <v>696</v>
      </c>
      <c r="F2" s="39" t="s">
        <v>605</v>
      </c>
      <c r="G2" s="324">
        <v>8990</v>
      </c>
      <c r="H2" s="85">
        <v>45017</v>
      </c>
      <c r="I2" s="85">
        <v>45382</v>
      </c>
      <c r="J2" s="86" t="s">
        <v>39</v>
      </c>
      <c r="K2" s="86" t="s">
        <v>39</v>
      </c>
      <c r="L2" s="86" t="s">
        <v>697</v>
      </c>
      <c r="M2" s="294" t="s">
        <v>697</v>
      </c>
      <c r="N2" s="87" t="s">
        <v>698</v>
      </c>
      <c r="O2" s="87" t="s">
        <v>698</v>
      </c>
      <c r="P2" s="87" t="s">
        <v>698</v>
      </c>
      <c r="Q2" s="87" t="s">
        <v>698</v>
      </c>
      <c r="S2" s="86" t="s">
        <v>697</v>
      </c>
    </row>
    <row r="3" spans="1:20" ht="14.25" customHeight="1" x14ac:dyDescent="0.2">
      <c r="A3" s="1" t="s">
        <v>613</v>
      </c>
      <c r="B3" s="1" t="s">
        <v>694</v>
      </c>
      <c r="C3" s="1" t="s">
        <v>695</v>
      </c>
      <c r="D3" s="1">
        <v>11</v>
      </c>
      <c r="E3" s="1" t="s">
        <v>699</v>
      </c>
      <c r="F3" s="1" t="s">
        <v>700</v>
      </c>
      <c r="G3" s="324">
        <v>21000</v>
      </c>
      <c r="H3" s="85">
        <v>45017</v>
      </c>
      <c r="I3" s="85">
        <v>45260</v>
      </c>
      <c r="J3" s="86" t="s">
        <v>39</v>
      </c>
      <c r="K3" s="86" t="s">
        <v>39</v>
      </c>
      <c r="L3" s="86" t="s">
        <v>697</v>
      </c>
      <c r="M3" s="294" t="s">
        <v>697</v>
      </c>
      <c r="N3" s="87" t="s">
        <v>698</v>
      </c>
      <c r="O3" s="87" t="s">
        <v>698</v>
      </c>
      <c r="P3" s="87" t="s">
        <v>698</v>
      </c>
      <c r="Q3" s="87" t="s">
        <v>698</v>
      </c>
      <c r="S3" s="86" t="s">
        <v>697</v>
      </c>
    </row>
    <row r="4" spans="1:20" ht="14.25" customHeight="1" x14ac:dyDescent="0.2">
      <c r="A4" s="1" t="s">
        <v>615</v>
      </c>
      <c r="B4" s="1" t="s">
        <v>694</v>
      </c>
      <c r="C4" s="1" t="s">
        <v>695</v>
      </c>
      <c r="D4" s="1">
        <v>11</v>
      </c>
      <c r="E4" s="1" t="s">
        <v>701</v>
      </c>
      <c r="F4" s="1" t="s">
        <v>702</v>
      </c>
      <c r="G4" s="324">
        <v>16500</v>
      </c>
      <c r="H4" s="85">
        <v>45017</v>
      </c>
      <c r="I4" s="85">
        <v>45382</v>
      </c>
      <c r="J4" s="86" t="s">
        <v>39</v>
      </c>
      <c r="K4" s="86" t="s">
        <v>39</v>
      </c>
      <c r="L4" s="86" t="s">
        <v>697</v>
      </c>
      <c r="M4" s="294" t="s">
        <v>697</v>
      </c>
      <c r="N4" s="87" t="s">
        <v>698</v>
      </c>
      <c r="O4" s="87" t="s">
        <v>698</v>
      </c>
      <c r="P4" s="87" t="s">
        <v>698</v>
      </c>
      <c r="Q4" s="87" t="s">
        <v>698</v>
      </c>
      <c r="S4" s="86" t="s">
        <v>697</v>
      </c>
    </row>
    <row r="5" spans="1:20" ht="14.25" customHeight="1" x14ac:dyDescent="0.2">
      <c r="A5" s="1" t="s">
        <v>617</v>
      </c>
      <c r="B5" s="1" t="s">
        <v>694</v>
      </c>
      <c r="C5" s="1" t="s">
        <v>695</v>
      </c>
      <c r="D5" s="1">
        <v>11</v>
      </c>
      <c r="E5" s="1" t="s">
        <v>703</v>
      </c>
      <c r="F5" s="1" t="s">
        <v>618</v>
      </c>
      <c r="G5" s="324">
        <v>49977</v>
      </c>
      <c r="H5" s="85">
        <v>45020</v>
      </c>
      <c r="I5" s="85">
        <v>45382</v>
      </c>
      <c r="J5" s="86" t="s">
        <v>39</v>
      </c>
      <c r="K5" s="86" t="s">
        <v>39</v>
      </c>
      <c r="L5" s="86" t="s">
        <v>697</v>
      </c>
      <c r="M5" s="294" t="s">
        <v>697</v>
      </c>
      <c r="N5" s="87" t="s">
        <v>698</v>
      </c>
      <c r="O5" s="87" t="s">
        <v>698</v>
      </c>
      <c r="P5" s="87" t="s">
        <v>698</v>
      </c>
      <c r="Q5" s="87" t="s">
        <v>698</v>
      </c>
      <c r="S5" s="86" t="s">
        <v>697</v>
      </c>
    </row>
    <row r="6" spans="1:20" ht="14.25" customHeight="1" x14ac:dyDescent="0.2">
      <c r="A6" s="1" t="s">
        <v>56</v>
      </c>
      <c r="B6" s="1" t="s">
        <v>694</v>
      </c>
      <c r="C6" s="1" t="s">
        <v>704</v>
      </c>
      <c r="D6" s="1">
        <v>8</v>
      </c>
      <c r="E6" s="1" t="s">
        <v>57</v>
      </c>
      <c r="F6" s="305" t="s">
        <v>705</v>
      </c>
      <c r="G6" s="324">
        <v>306653</v>
      </c>
      <c r="H6" s="85">
        <v>44013</v>
      </c>
      <c r="I6" s="85">
        <v>45382</v>
      </c>
      <c r="J6" s="86" t="s">
        <v>39</v>
      </c>
      <c r="K6" s="86" t="s">
        <v>39</v>
      </c>
      <c r="L6" s="86" t="s">
        <v>697</v>
      </c>
      <c r="M6" s="293" t="s">
        <v>697</v>
      </c>
      <c r="N6" s="87">
        <v>0</v>
      </c>
      <c r="O6" s="87">
        <v>0</v>
      </c>
      <c r="P6" s="87">
        <v>0</v>
      </c>
      <c r="Q6" s="1">
        <v>0</v>
      </c>
      <c r="R6" s="1"/>
      <c r="S6" s="86"/>
    </row>
    <row r="7" spans="1:20" ht="14.25" customHeight="1" x14ac:dyDescent="0.2">
      <c r="A7" s="1" t="s">
        <v>674</v>
      </c>
      <c r="B7" s="1" t="s">
        <v>694</v>
      </c>
      <c r="C7" s="1" t="s">
        <v>695</v>
      </c>
      <c r="D7" s="1">
        <v>11</v>
      </c>
      <c r="E7" s="1" t="s">
        <v>706</v>
      </c>
      <c r="F7" s="1" t="s">
        <v>700</v>
      </c>
      <c r="G7" s="324">
        <v>11397.6</v>
      </c>
      <c r="H7" s="85">
        <v>45017</v>
      </c>
      <c r="I7" s="85">
        <v>45382</v>
      </c>
      <c r="J7" s="86" t="s">
        <v>39</v>
      </c>
      <c r="K7" s="86" t="s">
        <v>39</v>
      </c>
      <c r="L7" s="86" t="s">
        <v>697</v>
      </c>
      <c r="M7" s="294" t="s">
        <v>697</v>
      </c>
      <c r="N7" s="87" t="s">
        <v>698</v>
      </c>
      <c r="O7" s="87" t="s">
        <v>698</v>
      </c>
      <c r="P7" s="87" t="s">
        <v>698</v>
      </c>
      <c r="Q7" s="87" t="s">
        <v>698</v>
      </c>
      <c r="S7" s="86" t="s">
        <v>697</v>
      </c>
    </row>
    <row r="8" spans="1:20" ht="14.25" customHeight="1" x14ac:dyDescent="0.2">
      <c r="A8" s="1" t="s">
        <v>619</v>
      </c>
      <c r="B8" s="1" t="s">
        <v>694</v>
      </c>
      <c r="C8" s="1" t="s">
        <v>695</v>
      </c>
      <c r="D8" s="1">
        <v>11</v>
      </c>
      <c r="E8" s="1" t="s">
        <v>707</v>
      </c>
      <c r="F8" s="1" t="s">
        <v>618</v>
      </c>
      <c r="G8" s="324">
        <v>50000</v>
      </c>
      <c r="H8" s="85">
        <v>45017</v>
      </c>
      <c r="I8" s="85">
        <v>45382</v>
      </c>
      <c r="J8" s="86" t="s">
        <v>39</v>
      </c>
      <c r="K8" s="86" t="s">
        <v>39</v>
      </c>
      <c r="L8" s="86" t="s">
        <v>697</v>
      </c>
      <c r="M8" s="294" t="s">
        <v>697</v>
      </c>
      <c r="N8" s="87" t="s">
        <v>698</v>
      </c>
      <c r="O8" s="87" t="s">
        <v>698</v>
      </c>
      <c r="P8" s="87" t="s">
        <v>698</v>
      </c>
      <c r="Q8" s="87" t="s">
        <v>698</v>
      </c>
      <c r="S8" s="86" t="s">
        <v>697</v>
      </c>
    </row>
    <row r="9" spans="1:20" ht="14.25" customHeight="1" x14ac:dyDescent="0.2">
      <c r="A9" s="1" t="s">
        <v>620</v>
      </c>
      <c r="B9" s="1" t="s">
        <v>694</v>
      </c>
      <c r="C9" s="1" t="s">
        <v>695</v>
      </c>
      <c r="D9" s="1">
        <v>11</v>
      </c>
      <c r="E9" s="1" t="s">
        <v>708</v>
      </c>
      <c r="F9" s="1" t="s">
        <v>709</v>
      </c>
      <c r="G9" s="324">
        <v>32800</v>
      </c>
      <c r="H9" s="85">
        <v>45017</v>
      </c>
      <c r="I9" s="85">
        <v>45352</v>
      </c>
      <c r="J9" s="86" t="s">
        <v>39</v>
      </c>
      <c r="K9" s="86" t="s">
        <v>39</v>
      </c>
      <c r="L9" s="86" t="s">
        <v>697</v>
      </c>
      <c r="M9" s="294" t="s">
        <v>697</v>
      </c>
      <c r="N9" s="87" t="s">
        <v>698</v>
      </c>
      <c r="O9" s="87" t="s">
        <v>698</v>
      </c>
      <c r="P9" s="87" t="s">
        <v>698</v>
      </c>
      <c r="Q9" s="87" t="s">
        <v>698</v>
      </c>
      <c r="S9" s="86" t="s">
        <v>697</v>
      </c>
    </row>
    <row r="10" spans="1:20" ht="14.25" customHeight="1" x14ac:dyDescent="0.2">
      <c r="A10" s="1" t="s">
        <v>622</v>
      </c>
      <c r="B10" s="1" t="s">
        <v>694</v>
      </c>
      <c r="C10" s="1" t="s">
        <v>695</v>
      </c>
      <c r="D10" s="1">
        <v>11</v>
      </c>
      <c r="E10" s="1" t="s">
        <v>710</v>
      </c>
      <c r="F10" s="1" t="s">
        <v>605</v>
      </c>
      <c r="G10" s="324">
        <v>8000</v>
      </c>
      <c r="H10" s="85">
        <v>45017</v>
      </c>
      <c r="I10" s="85">
        <v>45382</v>
      </c>
      <c r="J10" s="86" t="s">
        <v>39</v>
      </c>
      <c r="K10" s="86" t="s">
        <v>39</v>
      </c>
      <c r="L10" s="86" t="s">
        <v>697</v>
      </c>
      <c r="M10" s="294" t="s">
        <v>697</v>
      </c>
      <c r="N10" s="87" t="s">
        <v>698</v>
      </c>
      <c r="O10" s="87" t="s">
        <v>698</v>
      </c>
      <c r="P10" s="87" t="s">
        <v>698</v>
      </c>
      <c r="Q10" s="87" t="s">
        <v>698</v>
      </c>
      <c r="S10" s="86" t="s">
        <v>697</v>
      </c>
    </row>
    <row r="11" spans="1:20" ht="12.75" x14ac:dyDescent="0.2">
      <c r="A11" s="1" t="s">
        <v>623</v>
      </c>
      <c r="B11" s="1" t="s">
        <v>694</v>
      </c>
      <c r="C11" s="1" t="s">
        <v>695</v>
      </c>
      <c r="D11" s="1">
        <v>11</v>
      </c>
      <c r="E11" s="1" t="s">
        <v>711</v>
      </c>
      <c r="F11" s="1" t="s">
        <v>605</v>
      </c>
      <c r="G11" s="324">
        <v>4830</v>
      </c>
      <c r="H11" s="85">
        <v>45017</v>
      </c>
      <c r="I11" s="85">
        <v>45352</v>
      </c>
      <c r="J11" s="86" t="s">
        <v>39</v>
      </c>
      <c r="K11" s="86" t="s">
        <v>39</v>
      </c>
      <c r="L11" s="86" t="s">
        <v>697</v>
      </c>
      <c r="M11" s="294" t="s">
        <v>697</v>
      </c>
      <c r="N11" s="87" t="s">
        <v>698</v>
      </c>
      <c r="O11" s="87" t="s">
        <v>698</v>
      </c>
      <c r="P11" s="87" t="s">
        <v>698</v>
      </c>
      <c r="Q11" s="87" t="s">
        <v>698</v>
      </c>
      <c r="S11" s="86" t="s">
        <v>697</v>
      </c>
    </row>
    <row r="12" spans="1:20" ht="14.25" customHeight="1" x14ac:dyDescent="0.2">
      <c r="A12" s="1" t="s">
        <v>645</v>
      </c>
      <c r="B12" s="1" t="s">
        <v>694</v>
      </c>
      <c r="C12" s="1" t="s">
        <v>695</v>
      </c>
      <c r="D12" s="1">
        <v>11</v>
      </c>
      <c r="E12" s="1" t="s">
        <v>712</v>
      </c>
      <c r="F12" s="1" t="s">
        <v>598</v>
      </c>
      <c r="G12" s="324">
        <v>49844.17</v>
      </c>
      <c r="H12" s="85">
        <v>45139</v>
      </c>
      <c r="I12" s="85">
        <v>45382</v>
      </c>
      <c r="J12" s="86" t="s">
        <v>39</v>
      </c>
      <c r="K12" s="86" t="s">
        <v>39</v>
      </c>
      <c r="L12" s="86" t="s">
        <v>697</v>
      </c>
      <c r="M12" s="294" t="s">
        <v>697</v>
      </c>
      <c r="N12" s="87" t="s">
        <v>698</v>
      </c>
      <c r="O12" s="87" t="s">
        <v>698</v>
      </c>
      <c r="P12" s="87" t="s">
        <v>698</v>
      </c>
      <c r="Q12" s="87" t="s">
        <v>698</v>
      </c>
      <c r="S12" s="86" t="s">
        <v>697</v>
      </c>
    </row>
    <row r="13" spans="1:20" ht="14.25" customHeight="1" x14ac:dyDescent="0.2">
      <c r="A13" s="1" t="s">
        <v>624</v>
      </c>
      <c r="B13" s="1" t="s">
        <v>694</v>
      </c>
      <c r="C13" s="1" t="s">
        <v>695</v>
      </c>
      <c r="D13" s="1">
        <v>11</v>
      </c>
      <c r="E13" s="1" t="s">
        <v>713</v>
      </c>
      <c r="F13" s="1" t="s">
        <v>605</v>
      </c>
      <c r="G13" s="324">
        <v>15245.78</v>
      </c>
      <c r="H13" s="85">
        <v>45017</v>
      </c>
      <c r="I13" s="85">
        <v>45382</v>
      </c>
      <c r="J13" s="86" t="s">
        <v>39</v>
      </c>
      <c r="K13" s="86" t="s">
        <v>39</v>
      </c>
      <c r="L13" s="86" t="s">
        <v>697</v>
      </c>
      <c r="M13" s="294" t="s">
        <v>697</v>
      </c>
      <c r="N13" s="87" t="s">
        <v>698</v>
      </c>
      <c r="O13" s="87" t="s">
        <v>698</v>
      </c>
      <c r="P13" s="87" t="s">
        <v>698</v>
      </c>
      <c r="Q13" s="87" t="s">
        <v>698</v>
      </c>
      <c r="S13" s="86" t="s">
        <v>697</v>
      </c>
    </row>
    <row r="14" spans="1:20" ht="14.25" customHeight="1" x14ac:dyDescent="0.2">
      <c r="A14" s="1" t="s">
        <v>625</v>
      </c>
      <c r="B14" s="1" t="s">
        <v>694</v>
      </c>
      <c r="C14" s="1" t="s">
        <v>695</v>
      </c>
      <c r="D14" s="1">
        <v>11</v>
      </c>
      <c r="E14" s="1" t="s">
        <v>714</v>
      </c>
      <c r="F14" s="1" t="s">
        <v>605</v>
      </c>
      <c r="G14" s="324">
        <v>12100</v>
      </c>
      <c r="H14" s="85">
        <v>45069</v>
      </c>
      <c r="I14" s="85">
        <v>45382</v>
      </c>
      <c r="J14" s="86" t="s">
        <v>39</v>
      </c>
      <c r="K14" s="86" t="s">
        <v>39</v>
      </c>
      <c r="L14" s="86" t="s">
        <v>697</v>
      </c>
      <c r="M14" s="294" t="s">
        <v>697</v>
      </c>
      <c r="N14" s="87" t="s">
        <v>698</v>
      </c>
      <c r="O14" s="87" t="s">
        <v>698</v>
      </c>
      <c r="P14" s="87" t="s">
        <v>698</v>
      </c>
      <c r="Q14" s="87" t="s">
        <v>698</v>
      </c>
      <c r="S14" s="86" t="s">
        <v>697</v>
      </c>
    </row>
    <row r="15" spans="1:20" ht="14.25" customHeight="1" x14ac:dyDescent="0.2">
      <c r="A15" s="1" t="s">
        <v>647</v>
      </c>
      <c r="B15" s="1" t="s">
        <v>694</v>
      </c>
      <c r="C15" s="1" t="s">
        <v>695</v>
      </c>
      <c r="D15" s="1">
        <v>11</v>
      </c>
      <c r="E15" s="1" t="s">
        <v>715</v>
      </c>
      <c r="F15" s="1" t="s">
        <v>716</v>
      </c>
      <c r="G15" s="324">
        <v>49909.08</v>
      </c>
      <c r="H15" s="85">
        <v>45047</v>
      </c>
      <c r="I15" s="85">
        <v>45382</v>
      </c>
      <c r="J15" s="86" t="s">
        <v>39</v>
      </c>
      <c r="K15" s="86" t="s">
        <v>39</v>
      </c>
      <c r="L15" s="86" t="s">
        <v>697</v>
      </c>
      <c r="M15" s="294" t="s">
        <v>697</v>
      </c>
      <c r="N15" s="87" t="s">
        <v>698</v>
      </c>
      <c r="O15" s="87" t="s">
        <v>698</v>
      </c>
      <c r="P15" s="87" t="s">
        <v>698</v>
      </c>
      <c r="Q15" s="87" t="s">
        <v>698</v>
      </c>
      <c r="S15" s="86" t="s">
        <v>697</v>
      </c>
    </row>
    <row r="16" spans="1:20" ht="14.25" customHeight="1" x14ac:dyDescent="0.2">
      <c r="A16" s="1" t="s">
        <v>626</v>
      </c>
      <c r="B16" s="1" t="s">
        <v>694</v>
      </c>
      <c r="C16" s="1" t="s">
        <v>695</v>
      </c>
      <c r="D16" s="1">
        <v>11</v>
      </c>
      <c r="E16" s="1" t="s">
        <v>717</v>
      </c>
      <c r="F16" s="1" t="s">
        <v>718</v>
      </c>
      <c r="G16" s="324">
        <v>50000</v>
      </c>
      <c r="H16" s="85">
        <v>45017</v>
      </c>
      <c r="I16" s="85">
        <v>45382</v>
      </c>
      <c r="J16" s="86" t="s">
        <v>39</v>
      </c>
      <c r="K16" s="86" t="s">
        <v>39</v>
      </c>
      <c r="L16" s="86" t="s">
        <v>697</v>
      </c>
      <c r="M16" s="294" t="s">
        <v>697</v>
      </c>
      <c r="N16" s="87" t="s">
        <v>698</v>
      </c>
      <c r="O16" s="87" t="s">
        <v>698</v>
      </c>
      <c r="P16" s="87" t="s">
        <v>698</v>
      </c>
      <c r="Q16" s="87" t="s">
        <v>698</v>
      </c>
      <c r="S16" s="86" t="s">
        <v>697</v>
      </c>
    </row>
    <row r="17" spans="1:20" ht="14.25" customHeight="1" x14ac:dyDescent="0.25">
      <c r="A17" s="67" t="s">
        <v>602</v>
      </c>
      <c r="B17" s="1" t="s">
        <v>694</v>
      </c>
      <c r="C17" s="1" t="s">
        <v>704</v>
      </c>
      <c r="D17" s="1">
        <v>8</v>
      </c>
      <c r="E17" s="1" t="s">
        <v>719</v>
      </c>
      <c r="F17" s="1" t="s">
        <v>517</v>
      </c>
      <c r="G17" s="324">
        <v>312019</v>
      </c>
      <c r="H17" s="85">
        <v>43922</v>
      </c>
      <c r="I17" s="85">
        <v>45077</v>
      </c>
      <c r="J17" s="86" t="s">
        <v>39</v>
      </c>
      <c r="K17" s="86" t="s">
        <v>39</v>
      </c>
      <c r="L17" s="86" t="s">
        <v>697</v>
      </c>
      <c r="M17" s="86" t="s">
        <v>697</v>
      </c>
      <c r="N17">
        <v>0</v>
      </c>
      <c r="O17">
        <v>28081.71</v>
      </c>
      <c r="P17">
        <v>0</v>
      </c>
      <c r="Q17" t="s">
        <v>698</v>
      </c>
      <c r="S17" s="1" t="s">
        <v>697</v>
      </c>
      <c r="T17" s="1" t="s">
        <v>720</v>
      </c>
    </row>
    <row r="18" spans="1:20" ht="14.25" customHeight="1" x14ac:dyDescent="0.2">
      <c r="A18" s="1" t="s">
        <v>669</v>
      </c>
      <c r="B18" s="1" t="s">
        <v>694</v>
      </c>
      <c r="C18" s="1" t="s">
        <v>695</v>
      </c>
      <c r="D18" s="1">
        <v>11</v>
      </c>
      <c r="E18" s="1" t="s">
        <v>721</v>
      </c>
      <c r="F18" s="1" t="s">
        <v>618</v>
      </c>
      <c r="G18" s="324">
        <v>49995</v>
      </c>
      <c r="H18" s="85">
        <v>45019</v>
      </c>
      <c r="I18" s="85">
        <v>45322</v>
      </c>
      <c r="J18" s="86" t="s">
        <v>39</v>
      </c>
      <c r="K18" s="86" t="s">
        <v>39</v>
      </c>
      <c r="L18" s="86" t="s">
        <v>697</v>
      </c>
      <c r="M18" s="294" t="s">
        <v>697</v>
      </c>
      <c r="N18" s="87" t="s">
        <v>698</v>
      </c>
      <c r="O18" s="87" t="s">
        <v>698</v>
      </c>
      <c r="P18" s="87" t="s">
        <v>698</v>
      </c>
      <c r="Q18" s="87" t="s">
        <v>698</v>
      </c>
      <c r="S18" s="86" t="s">
        <v>697</v>
      </c>
    </row>
    <row r="19" spans="1:20" ht="14.25" customHeight="1" x14ac:dyDescent="0.2">
      <c r="A19" s="1" t="s">
        <v>627</v>
      </c>
      <c r="B19" s="1" t="s">
        <v>694</v>
      </c>
      <c r="C19" s="1" t="s">
        <v>695</v>
      </c>
      <c r="D19" s="1">
        <v>11</v>
      </c>
      <c r="E19" s="1" t="s">
        <v>722</v>
      </c>
      <c r="F19" s="1" t="s">
        <v>628</v>
      </c>
      <c r="G19" s="324">
        <v>26060</v>
      </c>
      <c r="H19" s="85">
        <v>45019</v>
      </c>
      <c r="I19" s="85">
        <v>45380</v>
      </c>
      <c r="J19" s="86" t="s">
        <v>39</v>
      </c>
      <c r="K19" s="86" t="s">
        <v>39</v>
      </c>
      <c r="L19" s="86" t="s">
        <v>697</v>
      </c>
      <c r="M19" s="294" t="s">
        <v>697</v>
      </c>
      <c r="N19" s="87" t="s">
        <v>698</v>
      </c>
      <c r="O19" s="87" t="s">
        <v>698</v>
      </c>
      <c r="P19" s="87" t="s">
        <v>698</v>
      </c>
      <c r="Q19" s="87" t="s">
        <v>698</v>
      </c>
      <c r="S19" s="86" t="s">
        <v>697</v>
      </c>
    </row>
    <row r="20" spans="1:20" ht="12.75" x14ac:dyDescent="0.2">
      <c r="A20" s="1" t="s">
        <v>629</v>
      </c>
      <c r="B20" s="1" t="s">
        <v>694</v>
      </c>
      <c r="C20" s="1" t="s">
        <v>695</v>
      </c>
      <c r="D20" s="1">
        <v>11</v>
      </c>
      <c r="E20" s="1" t="s">
        <v>723</v>
      </c>
      <c r="F20" s="1" t="s">
        <v>724</v>
      </c>
      <c r="G20" s="324">
        <v>24100</v>
      </c>
      <c r="H20" s="85">
        <v>45231</v>
      </c>
      <c r="I20" s="85">
        <v>45382</v>
      </c>
      <c r="J20" s="86" t="s">
        <v>39</v>
      </c>
      <c r="K20" s="86" t="s">
        <v>39</v>
      </c>
      <c r="L20" s="86" t="s">
        <v>697</v>
      </c>
      <c r="M20" s="294" t="s">
        <v>697</v>
      </c>
      <c r="N20" s="87" t="s">
        <v>698</v>
      </c>
      <c r="O20" s="87" t="s">
        <v>698</v>
      </c>
      <c r="P20" s="87" t="s">
        <v>698</v>
      </c>
      <c r="Q20" s="87" t="s">
        <v>698</v>
      </c>
      <c r="S20" s="86" t="s">
        <v>697</v>
      </c>
    </row>
    <row r="21" spans="1:20" ht="12.75" x14ac:dyDescent="0.2">
      <c r="A21" s="1" t="s">
        <v>631</v>
      </c>
      <c r="B21" s="1" t="s">
        <v>694</v>
      </c>
      <c r="C21" s="1" t="s">
        <v>695</v>
      </c>
      <c r="D21" s="1">
        <v>11</v>
      </c>
      <c r="E21" s="1" t="s">
        <v>725</v>
      </c>
      <c r="F21" s="1" t="s">
        <v>700</v>
      </c>
      <c r="G21" s="324">
        <v>31324.26</v>
      </c>
      <c r="H21" s="85">
        <v>45017</v>
      </c>
      <c r="I21" s="85">
        <v>45382</v>
      </c>
      <c r="J21" s="86" t="s">
        <v>39</v>
      </c>
      <c r="K21" s="86" t="s">
        <v>39</v>
      </c>
      <c r="L21" s="86" t="s">
        <v>697</v>
      </c>
      <c r="M21" s="294" t="s">
        <v>697</v>
      </c>
      <c r="N21" s="87" t="s">
        <v>698</v>
      </c>
      <c r="O21" s="87" t="s">
        <v>698</v>
      </c>
      <c r="P21" s="87" t="s">
        <v>698</v>
      </c>
      <c r="Q21" s="87" t="s">
        <v>698</v>
      </c>
      <c r="S21" s="86" t="s">
        <v>697</v>
      </c>
    </row>
    <row r="22" spans="1:20" ht="14.25" customHeight="1" x14ac:dyDescent="0.2">
      <c r="A22" s="1" t="s">
        <v>649</v>
      </c>
      <c r="B22" s="1" t="s">
        <v>694</v>
      </c>
      <c r="C22" s="1" t="s">
        <v>695</v>
      </c>
      <c r="D22" s="1">
        <v>11</v>
      </c>
      <c r="E22" s="1" t="s">
        <v>726</v>
      </c>
      <c r="F22" s="1" t="s">
        <v>496</v>
      </c>
      <c r="G22" s="324">
        <v>49768</v>
      </c>
      <c r="H22" s="85">
        <v>45031</v>
      </c>
      <c r="I22" s="85">
        <v>45382</v>
      </c>
      <c r="J22" s="86" t="s">
        <v>39</v>
      </c>
      <c r="K22" s="86" t="s">
        <v>39</v>
      </c>
      <c r="L22" s="86" t="s">
        <v>697</v>
      </c>
      <c r="M22" s="294" t="s">
        <v>697</v>
      </c>
      <c r="N22" s="87" t="s">
        <v>698</v>
      </c>
      <c r="O22" s="87" t="s">
        <v>698</v>
      </c>
      <c r="P22" s="87" t="s">
        <v>698</v>
      </c>
      <c r="Q22" s="87" t="s">
        <v>698</v>
      </c>
      <c r="S22" s="86" t="s">
        <v>697</v>
      </c>
    </row>
    <row r="23" spans="1:20" ht="14.25" customHeight="1" x14ac:dyDescent="0.2">
      <c r="A23" s="1" t="s">
        <v>608</v>
      </c>
      <c r="B23" s="1" t="s">
        <v>694</v>
      </c>
      <c r="C23" s="1" t="s">
        <v>695</v>
      </c>
      <c r="D23" s="1">
        <v>11</v>
      </c>
      <c r="E23" s="1" t="s">
        <v>727</v>
      </c>
      <c r="F23" s="1" t="s">
        <v>605</v>
      </c>
      <c r="G23" s="324">
        <v>10000</v>
      </c>
      <c r="H23" s="85">
        <v>45017</v>
      </c>
      <c r="I23" s="85">
        <v>45382</v>
      </c>
      <c r="J23" s="86" t="s">
        <v>39</v>
      </c>
      <c r="K23" s="86" t="s">
        <v>39</v>
      </c>
      <c r="L23" s="86" t="s">
        <v>697</v>
      </c>
      <c r="M23" s="294" t="s">
        <v>697</v>
      </c>
      <c r="N23" s="87" t="s">
        <v>698</v>
      </c>
      <c r="O23" s="87" t="s">
        <v>698</v>
      </c>
      <c r="P23" s="87" t="s">
        <v>698</v>
      </c>
      <c r="Q23" s="87" t="s">
        <v>698</v>
      </c>
      <c r="S23" s="86" t="s">
        <v>697</v>
      </c>
    </row>
    <row r="24" spans="1:20" ht="14.25" customHeight="1" x14ac:dyDescent="0.2">
      <c r="A24" s="1" t="s">
        <v>728</v>
      </c>
      <c r="B24" s="1" t="s">
        <v>694</v>
      </c>
      <c r="C24" s="1" t="s">
        <v>695</v>
      </c>
      <c r="D24" s="1">
        <v>11</v>
      </c>
      <c r="E24" s="1" t="s">
        <v>729</v>
      </c>
      <c r="F24" s="1" t="s">
        <v>716</v>
      </c>
      <c r="G24" s="324">
        <v>31663</v>
      </c>
      <c r="H24" s="85">
        <v>45047</v>
      </c>
      <c r="I24" s="85">
        <v>45382</v>
      </c>
      <c r="J24" s="86" t="s">
        <v>39</v>
      </c>
      <c r="K24" s="86" t="s">
        <v>39</v>
      </c>
      <c r="L24" s="86" t="s">
        <v>697</v>
      </c>
      <c r="M24" s="294" t="s">
        <v>697</v>
      </c>
      <c r="N24" s="87" t="s">
        <v>698</v>
      </c>
      <c r="O24" s="87" t="s">
        <v>698</v>
      </c>
      <c r="P24" s="87" t="s">
        <v>698</v>
      </c>
      <c r="Q24" s="87" t="s">
        <v>698</v>
      </c>
      <c r="S24" s="86" t="s">
        <v>697</v>
      </c>
    </row>
    <row r="25" spans="1:20" ht="14.25" customHeight="1" x14ac:dyDescent="0.2">
      <c r="A25" s="1" t="s">
        <v>671</v>
      </c>
      <c r="B25" s="1" t="s">
        <v>694</v>
      </c>
      <c r="C25" s="1" t="s">
        <v>695</v>
      </c>
      <c r="D25" s="1">
        <v>11</v>
      </c>
      <c r="E25" s="1" t="s">
        <v>730</v>
      </c>
      <c r="F25" s="1" t="s">
        <v>598</v>
      </c>
      <c r="G25" s="324">
        <v>49980</v>
      </c>
      <c r="H25" s="85">
        <v>45017</v>
      </c>
      <c r="I25" s="85">
        <v>45382</v>
      </c>
      <c r="J25" s="86" t="s">
        <v>39</v>
      </c>
      <c r="K25" s="86" t="s">
        <v>39</v>
      </c>
      <c r="L25" s="86" t="s">
        <v>697</v>
      </c>
      <c r="M25" s="294" t="s">
        <v>697</v>
      </c>
      <c r="N25" s="87" t="s">
        <v>698</v>
      </c>
      <c r="O25" s="87" t="s">
        <v>698</v>
      </c>
      <c r="P25" s="87" t="s">
        <v>698</v>
      </c>
      <c r="Q25" s="87" t="s">
        <v>698</v>
      </c>
      <c r="S25" s="86" t="s">
        <v>697</v>
      </c>
    </row>
    <row r="26" spans="1:20" ht="14.25" customHeight="1" x14ac:dyDescent="0.2">
      <c r="A26" s="1" t="s">
        <v>650</v>
      </c>
      <c r="B26" s="1" t="s">
        <v>694</v>
      </c>
      <c r="C26" s="1" t="s">
        <v>695</v>
      </c>
      <c r="D26" s="1">
        <v>11</v>
      </c>
      <c r="E26" s="1" t="s">
        <v>731</v>
      </c>
      <c r="F26" s="1" t="s">
        <v>700</v>
      </c>
      <c r="G26" s="324">
        <v>23729</v>
      </c>
      <c r="H26" s="85">
        <v>45047</v>
      </c>
      <c r="I26" s="85">
        <v>45380</v>
      </c>
      <c r="J26" s="86" t="s">
        <v>39</v>
      </c>
      <c r="K26" s="86" t="s">
        <v>39</v>
      </c>
      <c r="L26" s="86" t="s">
        <v>697</v>
      </c>
      <c r="M26" s="294" t="s">
        <v>697</v>
      </c>
      <c r="N26" s="87" t="s">
        <v>698</v>
      </c>
      <c r="O26" s="87" t="s">
        <v>698</v>
      </c>
      <c r="P26" s="87" t="s">
        <v>698</v>
      </c>
      <c r="Q26" s="87" t="s">
        <v>698</v>
      </c>
      <c r="S26" s="86" t="s">
        <v>697</v>
      </c>
    </row>
    <row r="27" spans="1:20" ht="14.25" customHeight="1" x14ac:dyDescent="0.2">
      <c r="A27" s="1" t="s">
        <v>651</v>
      </c>
      <c r="B27" s="1" t="s">
        <v>694</v>
      </c>
      <c r="C27" s="1" t="s">
        <v>695</v>
      </c>
      <c r="D27" s="1">
        <v>11</v>
      </c>
      <c r="E27" s="1" t="s">
        <v>732</v>
      </c>
      <c r="F27" s="1" t="s">
        <v>628</v>
      </c>
      <c r="G27" s="324">
        <v>33627</v>
      </c>
      <c r="H27" s="85">
        <v>45017</v>
      </c>
      <c r="I27" s="85">
        <v>45473</v>
      </c>
      <c r="J27" s="86" t="s">
        <v>39</v>
      </c>
      <c r="K27" s="86" t="s">
        <v>39</v>
      </c>
      <c r="L27" s="86" t="s">
        <v>697</v>
      </c>
      <c r="M27" s="294" t="s">
        <v>697</v>
      </c>
      <c r="N27" s="87" t="s">
        <v>698</v>
      </c>
      <c r="O27" s="87" t="s">
        <v>698</v>
      </c>
      <c r="P27" s="87" t="s">
        <v>698</v>
      </c>
      <c r="Q27" s="87" t="s">
        <v>698</v>
      </c>
      <c r="S27" s="86" t="s">
        <v>697</v>
      </c>
    </row>
    <row r="28" spans="1:20" ht="14.25" customHeight="1" x14ac:dyDescent="0.2">
      <c r="A28" s="1" t="s">
        <v>583</v>
      </c>
      <c r="B28" s="1" t="s">
        <v>694</v>
      </c>
      <c r="C28" s="1" t="s">
        <v>704</v>
      </c>
      <c r="D28" s="1">
        <v>8</v>
      </c>
      <c r="E28" s="1" t="s">
        <v>733</v>
      </c>
      <c r="F28" s="1" t="s">
        <v>724</v>
      </c>
      <c r="G28" s="324">
        <v>283417</v>
      </c>
      <c r="H28" s="85">
        <v>44046</v>
      </c>
      <c r="I28" s="85">
        <v>45282</v>
      </c>
      <c r="J28" s="86" t="s">
        <v>39</v>
      </c>
      <c r="K28" s="86" t="s">
        <v>39</v>
      </c>
      <c r="L28" s="86" t="s">
        <v>697</v>
      </c>
      <c r="M28" s="293" t="s">
        <v>697</v>
      </c>
      <c r="N28" s="87">
        <v>133442</v>
      </c>
      <c r="O28" s="87" t="s">
        <v>698</v>
      </c>
      <c r="P28" s="87">
        <v>0</v>
      </c>
      <c r="Q28" s="1" t="s">
        <v>698</v>
      </c>
      <c r="R28" s="1"/>
      <c r="S28" s="86" t="s">
        <v>697</v>
      </c>
      <c r="T28" s="1" t="s">
        <v>734</v>
      </c>
    </row>
    <row r="29" spans="1:20" ht="14.25" customHeight="1" x14ac:dyDescent="0.2">
      <c r="A29" s="1" t="s">
        <v>652</v>
      </c>
      <c r="B29" s="1" t="s">
        <v>694</v>
      </c>
      <c r="C29" s="1" t="s">
        <v>695</v>
      </c>
      <c r="D29" s="1">
        <v>11</v>
      </c>
      <c r="E29" s="1" t="s">
        <v>735</v>
      </c>
      <c r="F29" s="1" t="s">
        <v>572</v>
      </c>
      <c r="G29" s="324">
        <v>39127</v>
      </c>
      <c r="H29" s="85">
        <v>45047</v>
      </c>
      <c r="I29" s="85">
        <v>45382</v>
      </c>
      <c r="J29" s="86" t="s">
        <v>39</v>
      </c>
      <c r="K29" s="86" t="s">
        <v>39</v>
      </c>
      <c r="L29" s="86" t="s">
        <v>697</v>
      </c>
      <c r="M29" s="294" t="s">
        <v>697</v>
      </c>
      <c r="N29" s="87" t="s">
        <v>698</v>
      </c>
      <c r="O29" s="87" t="s">
        <v>698</v>
      </c>
      <c r="P29" s="87" t="s">
        <v>698</v>
      </c>
      <c r="Q29" s="87" t="s">
        <v>698</v>
      </c>
      <c r="S29" s="86" t="s">
        <v>697</v>
      </c>
    </row>
    <row r="30" spans="1:20" ht="14.25" customHeight="1" x14ac:dyDescent="0.2">
      <c r="A30" s="1" t="s">
        <v>653</v>
      </c>
      <c r="B30" s="1" t="s">
        <v>694</v>
      </c>
      <c r="C30" s="1" t="s">
        <v>695</v>
      </c>
      <c r="D30" s="1">
        <v>11</v>
      </c>
      <c r="E30" s="1" t="s">
        <v>736</v>
      </c>
      <c r="F30" s="1" t="s">
        <v>572</v>
      </c>
      <c r="G30" s="324">
        <v>49998</v>
      </c>
      <c r="H30" s="85">
        <v>45047</v>
      </c>
      <c r="I30" s="85">
        <v>45382</v>
      </c>
      <c r="J30" s="86" t="s">
        <v>39</v>
      </c>
      <c r="K30" s="86" t="s">
        <v>39</v>
      </c>
      <c r="L30" s="86" t="s">
        <v>697</v>
      </c>
      <c r="M30" s="294" t="s">
        <v>697</v>
      </c>
      <c r="N30" s="87" t="s">
        <v>698</v>
      </c>
      <c r="O30" s="87" t="s">
        <v>698</v>
      </c>
      <c r="P30" s="87" t="s">
        <v>698</v>
      </c>
      <c r="Q30" s="87" t="s">
        <v>698</v>
      </c>
      <c r="S30" s="86" t="s">
        <v>697</v>
      </c>
    </row>
    <row r="31" spans="1:20" ht="14.25" customHeight="1" x14ac:dyDescent="0.2">
      <c r="A31" s="1" t="s">
        <v>654</v>
      </c>
      <c r="B31" s="1" t="s">
        <v>694</v>
      </c>
      <c r="C31" s="1" t="s">
        <v>695</v>
      </c>
      <c r="D31" s="1">
        <v>11</v>
      </c>
      <c r="E31" s="1" t="s">
        <v>737</v>
      </c>
      <c r="F31" s="1" t="s">
        <v>572</v>
      </c>
      <c r="G31" s="324">
        <v>38741</v>
      </c>
      <c r="H31" s="85">
        <v>45047</v>
      </c>
      <c r="I31" s="85">
        <v>45382</v>
      </c>
      <c r="J31" s="86" t="s">
        <v>39</v>
      </c>
      <c r="K31" s="86" t="s">
        <v>39</v>
      </c>
      <c r="L31" s="86" t="s">
        <v>697</v>
      </c>
      <c r="M31" s="294" t="s">
        <v>697</v>
      </c>
      <c r="N31" s="87" t="s">
        <v>698</v>
      </c>
      <c r="O31" s="87" t="s">
        <v>698</v>
      </c>
      <c r="P31" s="87" t="s">
        <v>698</v>
      </c>
      <c r="Q31" s="87" t="s">
        <v>698</v>
      </c>
      <c r="S31" s="86" t="s">
        <v>697</v>
      </c>
    </row>
    <row r="32" spans="1:20" ht="14.25" customHeight="1" x14ac:dyDescent="0.2">
      <c r="A32" s="1" t="s">
        <v>655</v>
      </c>
      <c r="B32" s="1" t="s">
        <v>694</v>
      </c>
      <c r="C32" s="1" t="s">
        <v>695</v>
      </c>
      <c r="D32" s="1">
        <v>11</v>
      </c>
      <c r="E32" s="1" t="s">
        <v>738</v>
      </c>
      <c r="F32" s="1" t="s">
        <v>572</v>
      </c>
      <c r="G32" s="324">
        <v>49896</v>
      </c>
      <c r="H32" s="85">
        <v>45017</v>
      </c>
      <c r="I32" s="85">
        <v>45382</v>
      </c>
      <c r="J32" s="86" t="s">
        <v>39</v>
      </c>
      <c r="K32" s="86" t="s">
        <v>39</v>
      </c>
      <c r="L32" s="86" t="s">
        <v>697</v>
      </c>
      <c r="M32" s="294" t="s">
        <v>697</v>
      </c>
      <c r="N32" s="87" t="s">
        <v>698</v>
      </c>
      <c r="O32" s="87" t="s">
        <v>698</v>
      </c>
      <c r="P32" s="87" t="s">
        <v>698</v>
      </c>
      <c r="Q32" s="87" t="s">
        <v>698</v>
      </c>
      <c r="S32" s="86" t="s">
        <v>697</v>
      </c>
    </row>
    <row r="33" spans="1:20" ht="14.25" customHeight="1" x14ac:dyDescent="0.2">
      <c r="A33" s="1" t="s">
        <v>656</v>
      </c>
      <c r="B33" s="1" t="s">
        <v>694</v>
      </c>
      <c r="C33" s="1" t="s">
        <v>695</v>
      </c>
      <c r="D33" s="1">
        <v>11</v>
      </c>
      <c r="E33" s="1" t="s">
        <v>739</v>
      </c>
      <c r="F33" s="1" t="s">
        <v>572</v>
      </c>
      <c r="G33" s="324">
        <v>48024</v>
      </c>
      <c r="H33" s="85">
        <v>45047</v>
      </c>
      <c r="I33" s="85">
        <v>45382</v>
      </c>
      <c r="J33" s="86" t="s">
        <v>39</v>
      </c>
      <c r="K33" s="86" t="s">
        <v>39</v>
      </c>
      <c r="L33" s="86" t="s">
        <v>697</v>
      </c>
      <c r="M33" s="294" t="s">
        <v>697</v>
      </c>
      <c r="N33" s="87" t="s">
        <v>698</v>
      </c>
      <c r="O33" s="87" t="s">
        <v>698</v>
      </c>
      <c r="P33" s="87" t="s">
        <v>698</v>
      </c>
      <c r="Q33" s="87" t="s">
        <v>698</v>
      </c>
      <c r="S33" s="86" t="s">
        <v>697</v>
      </c>
    </row>
    <row r="34" spans="1:20" ht="14.25" customHeight="1" x14ac:dyDescent="0.2">
      <c r="A34" s="1" t="s">
        <v>632</v>
      </c>
      <c r="B34" s="1" t="s">
        <v>694</v>
      </c>
      <c r="C34" s="1" t="s">
        <v>695</v>
      </c>
      <c r="D34" s="1">
        <v>11</v>
      </c>
      <c r="E34" s="1" t="s">
        <v>740</v>
      </c>
      <c r="F34" s="1" t="s">
        <v>517</v>
      </c>
      <c r="G34" s="324">
        <v>25709.07</v>
      </c>
      <c r="H34" s="85">
        <v>45047</v>
      </c>
      <c r="I34" s="85">
        <v>45443</v>
      </c>
      <c r="J34" s="86" t="s">
        <v>39</v>
      </c>
      <c r="K34" s="86" t="s">
        <v>39</v>
      </c>
      <c r="L34" s="86" t="s">
        <v>697</v>
      </c>
      <c r="M34" s="294" t="s">
        <v>697</v>
      </c>
      <c r="N34" s="87" t="s">
        <v>698</v>
      </c>
      <c r="O34" s="87" t="s">
        <v>698</v>
      </c>
      <c r="P34" s="87" t="s">
        <v>698</v>
      </c>
      <c r="Q34" s="87" t="s">
        <v>698</v>
      </c>
      <c r="S34" s="86" t="s">
        <v>697</v>
      </c>
    </row>
    <row r="35" spans="1:20" ht="14.25" customHeight="1" x14ac:dyDescent="0.25">
      <c r="A35" s="67" t="s">
        <v>741</v>
      </c>
      <c r="B35" s="1" t="s">
        <v>694</v>
      </c>
      <c r="C35" s="1" t="s">
        <v>704</v>
      </c>
      <c r="D35" s="1">
        <v>8</v>
      </c>
      <c r="E35" s="1" t="s">
        <v>742</v>
      </c>
      <c r="F35" s="1" t="s">
        <v>500</v>
      </c>
      <c r="G35" s="324">
        <v>265889</v>
      </c>
      <c r="H35" s="85">
        <v>43922</v>
      </c>
      <c r="I35" s="85">
        <v>45230</v>
      </c>
      <c r="J35" s="86" t="s">
        <v>39</v>
      </c>
      <c r="K35" s="86" t="s">
        <v>39</v>
      </c>
      <c r="L35" s="86" t="s">
        <v>697</v>
      </c>
      <c r="M35" s="293" t="s">
        <v>743</v>
      </c>
      <c r="N35" t="s">
        <v>698</v>
      </c>
      <c r="O35" t="s">
        <v>698</v>
      </c>
      <c r="P35" t="s">
        <v>698</v>
      </c>
      <c r="Q35" t="s">
        <v>698</v>
      </c>
      <c r="S35" s="1" t="s">
        <v>697</v>
      </c>
      <c r="T35" s="1" t="s">
        <v>744</v>
      </c>
    </row>
    <row r="36" spans="1:20" ht="14.25" customHeight="1" x14ac:dyDescent="0.2">
      <c r="A36" s="1" t="s">
        <v>657</v>
      </c>
      <c r="B36" s="1" t="s">
        <v>694</v>
      </c>
      <c r="C36" s="1" t="s">
        <v>695</v>
      </c>
      <c r="D36" s="1">
        <v>11</v>
      </c>
      <c r="E36" s="1" t="s">
        <v>745</v>
      </c>
      <c r="F36" s="1" t="s">
        <v>705</v>
      </c>
      <c r="G36" s="324">
        <v>49917.599999999999</v>
      </c>
      <c r="H36" s="85">
        <v>45033</v>
      </c>
      <c r="I36" s="85">
        <v>45380</v>
      </c>
      <c r="J36" s="86" t="s">
        <v>39</v>
      </c>
      <c r="K36" s="86" t="s">
        <v>39</v>
      </c>
      <c r="L36" s="86" t="s">
        <v>697</v>
      </c>
      <c r="M36" s="294" t="s">
        <v>697</v>
      </c>
      <c r="N36" s="87" t="s">
        <v>698</v>
      </c>
      <c r="O36" s="87" t="s">
        <v>698</v>
      </c>
      <c r="P36" s="87" t="s">
        <v>698</v>
      </c>
      <c r="Q36" s="87" t="s">
        <v>698</v>
      </c>
      <c r="S36" s="86" t="s">
        <v>697</v>
      </c>
    </row>
    <row r="37" spans="1:20" ht="14.25" customHeight="1" x14ac:dyDescent="0.2">
      <c r="A37" s="1" t="s">
        <v>659</v>
      </c>
      <c r="B37" s="1" t="s">
        <v>694</v>
      </c>
      <c r="C37" s="1" t="s">
        <v>695</v>
      </c>
      <c r="D37" s="1">
        <v>11</v>
      </c>
      <c r="E37" s="1" t="s">
        <v>746</v>
      </c>
      <c r="F37" s="1" t="s">
        <v>517</v>
      </c>
      <c r="G37" s="324">
        <v>39302.5</v>
      </c>
      <c r="H37" s="85">
        <v>45047</v>
      </c>
      <c r="I37" s="85">
        <v>45382</v>
      </c>
      <c r="J37" s="86" t="s">
        <v>39</v>
      </c>
      <c r="K37" s="86" t="s">
        <v>39</v>
      </c>
      <c r="L37" s="86" t="s">
        <v>697</v>
      </c>
      <c r="M37" s="294" t="s">
        <v>697</v>
      </c>
      <c r="N37" s="87" t="s">
        <v>698</v>
      </c>
      <c r="O37" s="87" t="s">
        <v>698</v>
      </c>
      <c r="P37" s="87" t="s">
        <v>698</v>
      </c>
      <c r="Q37" s="87" t="s">
        <v>698</v>
      </c>
      <c r="S37" s="86" t="s">
        <v>697</v>
      </c>
    </row>
    <row r="38" spans="1:20" ht="14.25" customHeight="1" x14ac:dyDescent="0.2">
      <c r="A38" s="1" t="s">
        <v>634</v>
      </c>
      <c r="B38" s="1" t="s">
        <v>694</v>
      </c>
      <c r="C38" s="1" t="s">
        <v>695</v>
      </c>
      <c r="D38" s="1">
        <v>11</v>
      </c>
      <c r="E38" s="1" t="s">
        <v>747</v>
      </c>
      <c r="F38" s="1" t="s">
        <v>605</v>
      </c>
      <c r="G38" s="324">
        <v>30720</v>
      </c>
      <c r="H38" s="85">
        <v>45017</v>
      </c>
      <c r="I38" s="85">
        <v>45382</v>
      </c>
      <c r="J38" s="86" t="s">
        <v>39</v>
      </c>
      <c r="K38" s="86" t="s">
        <v>39</v>
      </c>
      <c r="L38" s="86" t="s">
        <v>697</v>
      </c>
      <c r="M38" s="294" t="s">
        <v>697</v>
      </c>
      <c r="N38" s="87" t="s">
        <v>698</v>
      </c>
      <c r="O38" s="87" t="s">
        <v>698</v>
      </c>
      <c r="P38" s="87" t="s">
        <v>698</v>
      </c>
      <c r="Q38" s="87" t="s">
        <v>698</v>
      </c>
      <c r="S38" s="86" t="s">
        <v>697</v>
      </c>
    </row>
    <row r="39" spans="1:20" ht="14.25" customHeight="1" x14ac:dyDescent="0.2">
      <c r="A39" s="1" t="s">
        <v>635</v>
      </c>
      <c r="B39" s="1" t="s">
        <v>694</v>
      </c>
      <c r="C39" s="1" t="s">
        <v>695</v>
      </c>
      <c r="D39" s="1">
        <v>11</v>
      </c>
      <c r="E39" s="1" t="s">
        <v>748</v>
      </c>
      <c r="F39" s="1" t="s">
        <v>605</v>
      </c>
      <c r="G39" s="324">
        <v>19964</v>
      </c>
      <c r="H39" s="85">
        <v>45019</v>
      </c>
      <c r="I39" s="85">
        <v>45382</v>
      </c>
      <c r="J39" s="86" t="s">
        <v>39</v>
      </c>
      <c r="K39" s="86" t="s">
        <v>39</v>
      </c>
      <c r="L39" s="86" t="s">
        <v>697</v>
      </c>
      <c r="M39" s="294" t="s">
        <v>697</v>
      </c>
      <c r="N39" s="87" t="s">
        <v>698</v>
      </c>
      <c r="O39" s="87" t="s">
        <v>698</v>
      </c>
      <c r="P39" s="87" t="s">
        <v>698</v>
      </c>
      <c r="Q39" s="87" t="s">
        <v>698</v>
      </c>
      <c r="S39" s="86" t="s">
        <v>697</v>
      </c>
    </row>
    <row r="40" spans="1:20" ht="14.25" customHeight="1" x14ac:dyDescent="0.2">
      <c r="A40" s="1" t="s">
        <v>636</v>
      </c>
      <c r="B40" s="1" t="s">
        <v>694</v>
      </c>
      <c r="C40" s="1" t="s">
        <v>695</v>
      </c>
      <c r="D40" s="1">
        <v>11</v>
      </c>
      <c r="E40" s="1" t="s">
        <v>749</v>
      </c>
      <c r="F40" s="1" t="s">
        <v>724</v>
      </c>
      <c r="G40" s="324">
        <v>39229</v>
      </c>
      <c r="H40" s="85">
        <v>45017</v>
      </c>
      <c r="I40" s="85">
        <v>45291</v>
      </c>
      <c r="J40" s="86" t="s">
        <v>39</v>
      </c>
      <c r="K40" s="86" t="s">
        <v>39</v>
      </c>
      <c r="L40" s="86" t="s">
        <v>697</v>
      </c>
      <c r="M40" s="294" t="s">
        <v>697</v>
      </c>
      <c r="N40" s="87" t="s">
        <v>698</v>
      </c>
      <c r="O40" s="87" t="s">
        <v>698</v>
      </c>
      <c r="P40" s="87" t="s">
        <v>698</v>
      </c>
      <c r="Q40" s="87" t="s">
        <v>698</v>
      </c>
      <c r="S40" s="86" t="s">
        <v>697</v>
      </c>
    </row>
    <row r="41" spans="1:20" ht="14.25" customHeight="1" x14ac:dyDescent="0.2">
      <c r="A41" s="1" t="s">
        <v>637</v>
      </c>
      <c r="B41" s="1" t="s">
        <v>694</v>
      </c>
      <c r="C41" s="1" t="s">
        <v>695</v>
      </c>
      <c r="D41" s="1">
        <v>11</v>
      </c>
      <c r="E41" s="1" t="s">
        <v>750</v>
      </c>
      <c r="F41" s="1" t="s">
        <v>605</v>
      </c>
      <c r="G41" s="324">
        <v>5300</v>
      </c>
      <c r="H41" s="85">
        <v>45069</v>
      </c>
      <c r="I41" s="85">
        <v>45382</v>
      </c>
      <c r="J41" s="86" t="s">
        <v>39</v>
      </c>
      <c r="K41" s="86" t="s">
        <v>39</v>
      </c>
      <c r="L41" s="86" t="s">
        <v>697</v>
      </c>
      <c r="M41" s="294" t="s">
        <v>697</v>
      </c>
      <c r="N41" s="87" t="s">
        <v>698</v>
      </c>
      <c r="O41" s="87" t="s">
        <v>698</v>
      </c>
      <c r="P41" s="87" t="s">
        <v>698</v>
      </c>
      <c r="Q41" s="87" t="s">
        <v>698</v>
      </c>
      <c r="S41" s="86" t="s">
        <v>697</v>
      </c>
    </row>
    <row r="42" spans="1:20" ht="14.25" customHeight="1" x14ac:dyDescent="0.2">
      <c r="A42" s="1" t="s">
        <v>660</v>
      </c>
      <c r="B42" s="1" t="s">
        <v>694</v>
      </c>
      <c r="C42" s="1" t="s">
        <v>695</v>
      </c>
      <c r="D42" s="1">
        <v>11</v>
      </c>
      <c r="E42" s="1" t="s">
        <v>751</v>
      </c>
      <c r="F42" s="1" t="s">
        <v>716</v>
      </c>
      <c r="G42" s="324">
        <v>49248</v>
      </c>
      <c r="H42" s="85">
        <v>45017</v>
      </c>
      <c r="I42" s="85">
        <v>45382</v>
      </c>
      <c r="J42" s="86" t="s">
        <v>39</v>
      </c>
      <c r="K42" s="86" t="s">
        <v>39</v>
      </c>
      <c r="L42" s="86" t="s">
        <v>697</v>
      </c>
      <c r="M42" s="294" t="s">
        <v>697</v>
      </c>
      <c r="N42" s="87" t="s">
        <v>698</v>
      </c>
      <c r="O42" s="87" t="s">
        <v>698</v>
      </c>
      <c r="P42" s="87" t="s">
        <v>698</v>
      </c>
      <c r="Q42" s="87" t="s">
        <v>698</v>
      </c>
      <c r="S42" s="86" t="s">
        <v>697</v>
      </c>
    </row>
    <row r="43" spans="1:20" ht="14.25" customHeight="1" x14ac:dyDescent="0.2">
      <c r="A43" s="1" t="s">
        <v>638</v>
      </c>
      <c r="B43" s="1" t="s">
        <v>694</v>
      </c>
      <c r="C43" s="1" t="s">
        <v>695</v>
      </c>
      <c r="D43" s="1">
        <v>11</v>
      </c>
      <c r="E43" s="1" t="s">
        <v>752</v>
      </c>
      <c r="F43" s="1" t="s">
        <v>702</v>
      </c>
      <c r="G43" s="324">
        <v>46558</v>
      </c>
      <c r="H43" s="85">
        <v>45047</v>
      </c>
      <c r="I43" s="85">
        <v>45382</v>
      </c>
      <c r="J43" s="86" t="s">
        <v>39</v>
      </c>
      <c r="K43" s="86" t="s">
        <v>39</v>
      </c>
      <c r="L43" s="86" t="s">
        <v>697</v>
      </c>
      <c r="M43" s="294" t="s">
        <v>697</v>
      </c>
      <c r="N43" s="87" t="s">
        <v>698</v>
      </c>
      <c r="O43" s="87" t="s">
        <v>698</v>
      </c>
      <c r="P43" s="87" t="s">
        <v>698</v>
      </c>
      <c r="Q43" s="87" t="s">
        <v>698</v>
      </c>
      <c r="S43" s="86" t="s">
        <v>697</v>
      </c>
    </row>
    <row r="44" spans="1:20" ht="14.25" customHeight="1" x14ac:dyDescent="0.2">
      <c r="A44" s="1" t="s">
        <v>584</v>
      </c>
      <c r="B44" s="1" t="s">
        <v>694</v>
      </c>
      <c r="C44" s="1" t="s">
        <v>704</v>
      </c>
      <c r="D44" s="1">
        <v>8</v>
      </c>
      <c r="E44" s="1" t="s">
        <v>753</v>
      </c>
      <c r="F44" s="1" t="s">
        <v>754</v>
      </c>
      <c r="G44" s="324">
        <v>241553</v>
      </c>
      <c r="H44" s="85">
        <v>43922</v>
      </c>
      <c r="I44" s="85">
        <v>45230</v>
      </c>
      <c r="J44" s="86" t="s">
        <v>39</v>
      </c>
      <c r="K44" s="86" t="s">
        <v>39</v>
      </c>
      <c r="L44" s="86" t="s">
        <v>697</v>
      </c>
      <c r="M44" s="293" t="s">
        <v>697</v>
      </c>
      <c r="N44" s="87">
        <v>1117.5</v>
      </c>
      <c r="O44" s="87" t="s">
        <v>698</v>
      </c>
      <c r="P44" s="87">
        <v>0</v>
      </c>
      <c r="Q44" s="1" t="s">
        <v>698</v>
      </c>
      <c r="R44" s="1"/>
      <c r="S44" s="86" t="s">
        <v>697</v>
      </c>
      <c r="T44" s="1" t="s">
        <v>744</v>
      </c>
    </row>
    <row r="45" spans="1:20" ht="14.25" customHeight="1" x14ac:dyDescent="0.2">
      <c r="A45" s="1" t="s">
        <v>661</v>
      </c>
      <c r="B45" s="1" t="s">
        <v>694</v>
      </c>
      <c r="C45" s="1" t="s">
        <v>695</v>
      </c>
      <c r="D45" s="1">
        <v>11</v>
      </c>
      <c r="E45" s="1" t="s">
        <v>755</v>
      </c>
      <c r="F45" s="1" t="s">
        <v>643</v>
      </c>
      <c r="G45" s="324">
        <v>41480.379999999997</v>
      </c>
      <c r="H45" s="85">
        <v>45017</v>
      </c>
      <c r="I45" s="85">
        <v>45382</v>
      </c>
      <c r="J45" s="86" t="s">
        <v>39</v>
      </c>
      <c r="K45" s="86" t="s">
        <v>39</v>
      </c>
      <c r="L45" s="86" t="s">
        <v>697</v>
      </c>
      <c r="M45" s="294" t="s">
        <v>697</v>
      </c>
      <c r="N45" s="87" t="s">
        <v>698</v>
      </c>
      <c r="O45" s="87" t="s">
        <v>698</v>
      </c>
      <c r="P45" s="87" t="s">
        <v>698</v>
      </c>
      <c r="Q45" s="87" t="s">
        <v>698</v>
      </c>
      <c r="S45" s="86" t="s">
        <v>697</v>
      </c>
    </row>
    <row r="46" spans="1:20" ht="14.25" customHeight="1" x14ac:dyDescent="0.2">
      <c r="A46" s="1" t="s">
        <v>639</v>
      </c>
      <c r="B46" s="1" t="s">
        <v>694</v>
      </c>
      <c r="C46" s="1" t="s">
        <v>695</v>
      </c>
      <c r="D46" s="1">
        <v>11</v>
      </c>
      <c r="E46" s="1" t="s">
        <v>756</v>
      </c>
      <c r="F46" s="1" t="s">
        <v>702</v>
      </c>
      <c r="G46" s="324">
        <v>51480</v>
      </c>
      <c r="H46" s="85">
        <v>45017</v>
      </c>
      <c r="I46" s="85">
        <v>45381</v>
      </c>
      <c r="J46" s="86" t="s">
        <v>39</v>
      </c>
      <c r="K46" s="86" t="s">
        <v>39</v>
      </c>
      <c r="L46" s="86" t="s">
        <v>697</v>
      </c>
      <c r="M46" s="294" t="s">
        <v>697</v>
      </c>
      <c r="N46" s="87" t="s">
        <v>698</v>
      </c>
      <c r="O46" s="87" t="s">
        <v>698</v>
      </c>
      <c r="P46" s="87" t="s">
        <v>698</v>
      </c>
      <c r="Q46" s="87" t="s">
        <v>698</v>
      </c>
      <c r="S46" s="86" t="s">
        <v>697</v>
      </c>
    </row>
    <row r="47" spans="1:20" ht="14.25" customHeight="1" x14ac:dyDescent="0.2">
      <c r="A47" s="1" t="s">
        <v>662</v>
      </c>
      <c r="B47" s="1" t="s">
        <v>694</v>
      </c>
      <c r="C47" s="1" t="s">
        <v>695</v>
      </c>
      <c r="D47" s="1">
        <v>12</v>
      </c>
      <c r="E47" s="1" t="s">
        <v>757</v>
      </c>
      <c r="F47" s="1" t="s">
        <v>500</v>
      </c>
      <c r="G47" s="324">
        <v>24569.5</v>
      </c>
      <c r="H47" s="85" t="s">
        <v>758</v>
      </c>
      <c r="I47" s="85">
        <v>45382</v>
      </c>
      <c r="J47" s="86" t="s">
        <v>39</v>
      </c>
      <c r="K47" s="86" t="s">
        <v>39</v>
      </c>
      <c r="L47" s="86" t="s">
        <v>697</v>
      </c>
      <c r="M47" s="294" t="s">
        <v>697</v>
      </c>
      <c r="N47" s="87" t="s">
        <v>698</v>
      </c>
      <c r="O47" s="87" t="s">
        <v>698</v>
      </c>
      <c r="P47" s="87" t="s">
        <v>698</v>
      </c>
      <c r="Q47" s="87" t="s">
        <v>698</v>
      </c>
      <c r="S47" s="86" t="s">
        <v>697</v>
      </c>
    </row>
    <row r="48" spans="1:20" ht="14.25" customHeight="1" x14ac:dyDescent="0.2">
      <c r="A48" s="1" t="s">
        <v>58</v>
      </c>
      <c r="B48" s="1" t="s">
        <v>694</v>
      </c>
      <c r="C48" s="1" t="s">
        <v>704</v>
      </c>
      <c r="D48" s="1">
        <v>8</v>
      </c>
      <c r="E48" s="1" t="s">
        <v>59</v>
      </c>
      <c r="F48" s="1" t="s">
        <v>754</v>
      </c>
      <c r="G48" s="324">
        <v>317282.57</v>
      </c>
      <c r="H48" s="85">
        <v>43922</v>
      </c>
      <c r="I48" s="85">
        <v>45382</v>
      </c>
      <c r="J48" s="86" t="s">
        <v>759</v>
      </c>
      <c r="K48" s="86" t="s">
        <v>35</v>
      </c>
      <c r="L48" s="86" t="s">
        <v>697</v>
      </c>
      <c r="M48" s="86"/>
      <c r="N48" s="87">
        <v>14645.14</v>
      </c>
      <c r="O48" s="87" t="s">
        <v>698</v>
      </c>
      <c r="P48" s="87">
        <v>0</v>
      </c>
      <c r="Q48" s="1" t="s">
        <v>698</v>
      </c>
      <c r="R48" s="1">
        <v>85</v>
      </c>
      <c r="S48" s="86" t="s">
        <v>760</v>
      </c>
    </row>
    <row r="49" spans="1:20" ht="14.25" customHeight="1" x14ac:dyDescent="0.2">
      <c r="A49" s="1" t="s">
        <v>677</v>
      </c>
      <c r="B49" s="1" t="s">
        <v>694</v>
      </c>
      <c r="C49" s="1" t="s">
        <v>695</v>
      </c>
      <c r="D49" s="1">
        <v>12</v>
      </c>
      <c r="E49" s="1" t="s">
        <v>761</v>
      </c>
      <c r="F49" s="1" t="s">
        <v>762</v>
      </c>
      <c r="G49" s="324">
        <v>46395</v>
      </c>
      <c r="H49" s="85" t="s">
        <v>758</v>
      </c>
      <c r="I49" s="85">
        <v>45352</v>
      </c>
      <c r="J49" s="86" t="s">
        <v>39</v>
      </c>
      <c r="K49" s="86" t="s">
        <v>39</v>
      </c>
      <c r="L49" s="86" t="s">
        <v>697</v>
      </c>
      <c r="M49" s="294" t="s">
        <v>697</v>
      </c>
      <c r="N49" s="87" t="s">
        <v>698</v>
      </c>
      <c r="O49" s="87" t="s">
        <v>698</v>
      </c>
      <c r="P49" s="87" t="s">
        <v>698</v>
      </c>
      <c r="Q49" s="87" t="s">
        <v>698</v>
      </c>
      <c r="S49" s="86" t="s">
        <v>697</v>
      </c>
    </row>
    <row r="50" spans="1:20" ht="14.25" customHeight="1" x14ac:dyDescent="0.2">
      <c r="A50" s="1" t="s">
        <v>663</v>
      </c>
      <c r="B50" s="1" t="s">
        <v>694</v>
      </c>
      <c r="C50" s="1" t="s">
        <v>695</v>
      </c>
      <c r="D50" s="1">
        <v>12</v>
      </c>
      <c r="E50" s="1" t="s">
        <v>763</v>
      </c>
      <c r="F50" s="1" t="s">
        <v>628</v>
      </c>
      <c r="G50" s="324">
        <v>38657</v>
      </c>
      <c r="H50" s="85" t="s">
        <v>758</v>
      </c>
      <c r="I50" s="85">
        <v>45382</v>
      </c>
      <c r="J50" s="86" t="s">
        <v>39</v>
      </c>
      <c r="K50" s="86" t="s">
        <v>39</v>
      </c>
      <c r="L50" s="86" t="s">
        <v>697</v>
      </c>
      <c r="M50" s="294" t="s">
        <v>697</v>
      </c>
      <c r="N50" s="87" t="s">
        <v>698</v>
      </c>
      <c r="O50" s="87" t="s">
        <v>698</v>
      </c>
      <c r="P50" s="87" t="s">
        <v>698</v>
      </c>
      <c r="Q50" s="87" t="s">
        <v>698</v>
      </c>
      <c r="S50" s="86" t="s">
        <v>697</v>
      </c>
    </row>
    <row r="51" spans="1:20" ht="14.25" customHeight="1" x14ac:dyDescent="0.2">
      <c r="A51" s="1" t="s">
        <v>664</v>
      </c>
      <c r="B51" s="1" t="s">
        <v>694</v>
      </c>
      <c r="C51" s="1" t="s">
        <v>695</v>
      </c>
      <c r="D51" s="1">
        <v>12</v>
      </c>
      <c r="E51" s="1" t="s">
        <v>764</v>
      </c>
      <c r="F51" s="1" t="s">
        <v>762</v>
      </c>
      <c r="G51" s="324">
        <v>48501</v>
      </c>
      <c r="H51" s="85" t="s">
        <v>765</v>
      </c>
      <c r="I51" s="85">
        <v>45382</v>
      </c>
      <c r="J51" s="86" t="s">
        <v>39</v>
      </c>
      <c r="K51" s="86" t="s">
        <v>39</v>
      </c>
      <c r="L51" s="86" t="s">
        <v>697</v>
      </c>
      <c r="M51" s="294" t="s">
        <v>697</v>
      </c>
      <c r="N51" s="87" t="s">
        <v>698</v>
      </c>
      <c r="O51" s="87" t="s">
        <v>698</v>
      </c>
      <c r="P51" s="87" t="s">
        <v>698</v>
      </c>
      <c r="Q51" s="87" t="s">
        <v>698</v>
      </c>
      <c r="S51" s="86" t="s">
        <v>697</v>
      </c>
    </row>
    <row r="52" spans="1:20" ht="14.25" customHeight="1" x14ac:dyDescent="0.2">
      <c r="A52" s="1" t="s">
        <v>611</v>
      </c>
      <c r="B52" s="1" t="s">
        <v>694</v>
      </c>
      <c r="C52" s="1" t="s">
        <v>695</v>
      </c>
      <c r="D52" s="1">
        <v>12</v>
      </c>
      <c r="E52" s="1" t="s">
        <v>766</v>
      </c>
      <c r="F52" s="1" t="s">
        <v>628</v>
      </c>
      <c r="G52" s="324">
        <v>49203</v>
      </c>
      <c r="H52" s="85" t="s">
        <v>758</v>
      </c>
      <c r="I52" s="85">
        <v>45382</v>
      </c>
      <c r="J52" s="86" t="s">
        <v>39</v>
      </c>
      <c r="K52" s="86" t="s">
        <v>39</v>
      </c>
      <c r="L52" s="86" t="s">
        <v>697</v>
      </c>
      <c r="M52" s="294" t="s">
        <v>697</v>
      </c>
      <c r="N52" s="87" t="s">
        <v>698</v>
      </c>
      <c r="O52" s="87" t="s">
        <v>698</v>
      </c>
      <c r="P52" s="87" t="s">
        <v>698</v>
      </c>
      <c r="Q52" s="87" t="s">
        <v>698</v>
      </c>
      <c r="S52" s="86" t="s">
        <v>697</v>
      </c>
    </row>
    <row r="53" spans="1:20" ht="14.25" customHeight="1" x14ac:dyDescent="0.2">
      <c r="A53" s="1" t="s">
        <v>60</v>
      </c>
      <c r="B53" s="1" t="s">
        <v>694</v>
      </c>
      <c r="C53" s="1" t="s">
        <v>704</v>
      </c>
      <c r="D53" s="1">
        <v>8</v>
      </c>
      <c r="E53" s="1" t="s">
        <v>61</v>
      </c>
      <c r="F53" s="1" t="s">
        <v>754</v>
      </c>
      <c r="G53" s="324">
        <v>84148</v>
      </c>
      <c r="H53" s="85">
        <v>43922</v>
      </c>
      <c r="I53" s="85">
        <v>44651</v>
      </c>
      <c r="J53" s="86" t="s">
        <v>39</v>
      </c>
      <c r="K53" s="86" t="s">
        <v>39</v>
      </c>
      <c r="L53" s="86" t="s">
        <v>760</v>
      </c>
      <c r="M53" s="293" t="s">
        <v>767</v>
      </c>
      <c r="N53" s="87">
        <v>0</v>
      </c>
      <c r="O53" s="87" t="s">
        <v>698</v>
      </c>
      <c r="P53" s="87">
        <v>0</v>
      </c>
      <c r="Q53" s="1" t="s">
        <v>698</v>
      </c>
      <c r="R53" s="1"/>
      <c r="S53" s="86"/>
    </row>
    <row r="54" spans="1:20" ht="14.25" customHeight="1" x14ac:dyDescent="0.25">
      <c r="A54" s="67" t="s">
        <v>768</v>
      </c>
      <c r="B54" s="1" t="s">
        <v>694</v>
      </c>
      <c r="C54" s="1" t="s">
        <v>704</v>
      </c>
      <c r="D54" s="1">
        <v>8</v>
      </c>
      <c r="E54" s="1" t="s">
        <v>769</v>
      </c>
      <c r="F54" s="1" t="s">
        <v>702</v>
      </c>
      <c r="G54" s="324">
        <v>324297</v>
      </c>
      <c r="H54" s="85">
        <v>43922</v>
      </c>
      <c r="I54" s="85">
        <v>45138</v>
      </c>
      <c r="J54" s="86" t="s">
        <v>39</v>
      </c>
      <c r="K54" s="86" t="s">
        <v>39</v>
      </c>
      <c r="L54" s="86" t="s">
        <v>697</v>
      </c>
      <c r="M54" s="293" t="s">
        <v>760</v>
      </c>
      <c r="N54" t="s">
        <v>698</v>
      </c>
      <c r="O54" t="s">
        <v>698</v>
      </c>
      <c r="P54" t="s">
        <v>698</v>
      </c>
      <c r="Q54" t="s">
        <v>698</v>
      </c>
      <c r="S54" s="1" t="s">
        <v>697</v>
      </c>
      <c r="T54" s="1" t="s">
        <v>770</v>
      </c>
    </row>
    <row r="55" spans="1:20" ht="14.25" customHeight="1" x14ac:dyDescent="0.2">
      <c r="A55" s="1" t="s">
        <v>641</v>
      </c>
      <c r="B55" s="1" t="s">
        <v>694</v>
      </c>
      <c r="C55" s="1" t="s">
        <v>695</v>
      </c>
      <c r="D55" s="1">
        <v>12</v>
      </c>
      <c r="E55" s="1" t="s">
        <v>771</v>
      </c>
      <c r="F55" s="1" t="s">
        <v>618</v>
      </c>
      <c r="G55" s="324">
        <v>48429.61</v>
      </c>
      <c r="H55" s="85" t="s">
        <v>765</v>
      </c>
      <c r="I55" s="85">
        <v>45382</v>
      </c>
      <c r="J55" s="86" t="s">
        <v>39</v>
      </c>
      <c r="K55" s="86" t="s">
        <v>39</v>
      </c>
      <c r="L55" s="86" t="s">
        <v>697</v>
      </c>
      <c r="M55" s="294" t="s">
        <v>697</v>
      </c>
      <c r="N55" s="87" t="s">
        <v>698</v>
      </c>
      <c r="O55" s="87" t="s">
        <v>698</v>
      </c>
      <c r="P55" s="87" t="s">
        <v>698</v>
      </c>
      <c r="Q55" s="87" t="s">
        <v>698</v>
      </c>
      <c r="S55" s="86" t="s">
        <v>697</v>
      </c>
    </row>
    <row r="56" spans="1:20" ht="14.25" customHeight="1" x14ac:dyDescent="0.2">
      <c r="A56" s="1" t="s">
        <v>772</v>
      </c>
      <c r="B56" s="1" t="s">
        <v>694</v>
      </c>
      <c r="C56" s="1" t="s">
        <v>695</v>
      </c>
      <c r="D56" s="1">
        <v>12</v>
      </c>
      <c r="E56" s="1" t="s">
        <v>773</v>
      </c>
      <c r="F56" s="1" t="s">
        <v>716</v>
      </c>
      <c r="G56" s="324">
        <v>19984.8</v>
      </c>
      <c r="H56" s="85" t="s">
        <v>765</v>
      </c>
      <c r="I56" s="85">
        <v>45382</v>
      </c>
      <c r="J56" s="86" t="s">
        <v>39</v>
      </c>
      <c r="K56" s="86" t="s">
        <v>39</v>
      </c>
      <c r="L56" s="86" t="s">
        <v>697</v>
      </c>
      <c r="M56" s="294" t="s">
        <v>697</v>
      </c>
      <c r="N56" s="87" t="s">
        <v>698</v>
      </c>
      <c r="O56" s="87" t="s">
        <v>698</v>
      </c>
      <c r="P56" s="87" t="s">
        <v>698</v>
      </c>
      <c r="Q56" s="87" t="s">
        <v>698</v>
      </c>
      <c r="S56" s="86" t="s">
        <v>697</v>
      </c>
    </row>
    <row r="57" spans="1:20" ht="14.25" customHeight="1" x14ac:dyDescent="0.2">
      <c r="A57" s="1" t="s">
        <v>642</v>
      </c>
      <c r="B57" s="1" t="s">
        <v>694</v>
      </c>
      <c r="C57" s="1" t="s">
        <v>695</v>
      </c>
      <c r="D57" s="1">
        <v>12</v>
      </c>
      <c r="E57" s="1" t="s">
        <v>774</v>
      </c>
      <c r="F57" s="1" t="s">
        <v>643</v>
      </c>
      <c r="G57" s="324">
        <v>37245.47</v>
      </c>
      <c r="H57" s="85" t="s">
        <v>758</v>
      </c>
      <c r="I57" s="85">
        <v>45382</v>
      </c>
      <c r="J57" s="86" t="s">
        <v>39</v>
      </c>
      <c r="K57" s="86" t="s">
        <v>39</v>
      </c>
      <c r="L57" s="86" t="s">
        <v>697</v>
      </c>
      <c r="M57" s="294" t="s">
        <v>697</v>
      </c>
      <c r="N57" s="87" t="s">
        <v>698</v>
      </c>
      <c r="O57" s="87" t="s">
        <v>698</v>
      </c>
      <c r="P57" s="87" t="s">
        <v>698</v>
      </c>
      <c r="Q57" s="87" t="s">
        <v>698</v>
      </c>
      <c r="S57" s="86" t="s">
        <v>697</v>
      </c>
    </row>
    <row r="58" spans="1:20" ht="14.25" customHeight="1" x14ac:dyDescent="0.2">
      <c r="A58" s="1" t="s">
        <v>644</v>
      </c>
      <c r="B58" s="1" t="s">
        <v>694</v>
      </c>
      <c r="C58" s="1" t="s">
        <v>695</v>
      </c>
      <c r="D58" s="1">
        <v>12</v>
      </c>
      <c r="E58" s="1" t="s">
        <v>775</v>
      </c>
      <c r="F58" s="1" t="s">
        <v>700</v>
      </c>
      <c r="G58" s="324">
        <v>48118</v>
      </c>
      <c r="H58" s="85" t="s">
        <v>765</v>
      </c>
      <c r="I58" s="85">
        <v>45380</v>
      </c>
      <c r="J58" s="86" t="s">
        <v>39</v>
      </c>
      <c r="K58" s="86" t="s">
        <v>39</v>
      </c>
      <c r="L58" s="86" t="s">
        <v>697</v>
      </c>
      <c r="M58" s="294" t="s">
        <v>697</v>
      </c>
      <c r="N58" s="87" t="s">
        <v>698</v>
      </c>
      <c r="O58" s="87" t="s">
        <v>698</v>
      </c>
      <c r="P58" s="87" t="s">
        <v>698</v>
      </c>
      <c r="Q58" s="87" t="s">
        <v>698</v>
      </c>
      <c r="S58" s="86" t="s">
        <v>697</v>
      </c>
    </row>
    <row r="59" spans="1:20" ht="14.25" customHeight="1" x14ac:dyDescent="0.2">
      <c r="A59" s="1" t="s">
        <v>665</v>
      </c>
      <c r="B59" s="1" t="s">
        <v>694</v>
      </c>
      <c r="C59" s="1" t="s">
        <v>695</v>
      </c>
      <c r="D59" s="1">
        <v>12</v>
      </c>
      <c r="E59" s="1" t="s">
        <v>776</v>
      </c>
      <c r="F59" s="1" t="s">
        <v>628</v>
      </c>
      <c r="G59" s="324">
        <v>42582.65</v>
      </c>
      <c r="H59" s="85" t="s">
        <v>765</v>
      </c>
      <c r="I59" s="85">
        <v>45382</v>
      </c>
      <c r="J59" s="86" t="s">
        <v>39</v>
      </c>
      <c r="K59" s="86" t="s">
        <v>39</v>
      </c>
      <c r="L59" s="86" t="s">
        <v>697</v>
      </c>
      <c r="M59" s="294" t="s">
        <v>697</v>
      </c>
      <c r="N59" s="87" t="s">
        <v>698</v>
      </c>
      <c r="O59" s="87" t="s">
        <v>698</v>
      </c>
      <c r="P59" s="87" t="s">
        <v>698</v>
      </c>
      <c r="Q59" s="87" t="s">
        <v>698</v>
      </c>
      <c r="S59" s="86" t="s">
        <v>697</v>
      </c>
    </row>
    <row r="60" spans="1:20" ht="14.25" customHeight="1" x14ac:dyDescent="0.2">
      <c r="A60" s="1" t="s">
        <v>666</v>
      </c>
      <c r="B60" s="1" t="s">
        <v>694</v>
      </c>
      <c r="C60" s="1" t="s">
        <v>695</v>
      </c>
      <c r="D60" s="1">
        <v>12</v>
      </c>
      <c r="E60" s="1" t="s">
        <v>777</v>
      </c>
      <c r="F60" s="1" t="s">
        <v>572</v>
      </c>
      <c r="G60" s="324">
        <v>44988</v>
      </c>
      <c r="H60" s="85" t="s">
        <v>758</v>
      </c>
      <c r="I60" s="85">
        <v>45382</v>
      </c>
      <c r="J60" s="86" t="s">
        <v>39</v>
      </c>
      <c r="K60" s="86" t="s">
        <v>39</v>
      </c>
      <c r="L60" s="86" t="s">
        <v>697</v>
      </c>
      <c r="M60" s="294" t="s">
        <v>697</v>
      </c>
      <c r="N60" s="87" t="s">
        <v>698</v>
      </c>
      <c r="O60" s="87" t="s">
        <v>698</v>
      </c>
      <c r="P60" s="87" t="s">
        <v>698</v>
      </c>
      <c r="Q60" s="87" t="s">
        <v>698</v>
      </c>
      <c r="S60" s="86" t="s">
        <v>697</v>
      </c>
    </row>
    <row r="61" spans="1:20" ht="14.25" customHeight="1" x14ac:dyDescent="0.2">
      <c r="A61" s="1" t="s">
        <v>62</v>
      </c>
      <c r="B61" s="1" t="s">
        <v>694</v>
      </c>
      <c r="C61" s="1" t="s">
        <v>704</v>
      </c>
      <c r="D61" s="1">
        <v>8</v>
      </c>
      <c r="E61" s="1" t="s">
        <v>63</v>
      </c>
      <c r="F61" s="1" t="s">
        <v>724</v>
      </c>
      <c r="G61" s="324">
        <v>269233</v>
      </c>
      <c r="H61" s="85">
        <v>44256</v>
      </c>
      <c r="I61" s="85">
        <v>46233</v>
      </c>
      <c r="J61" s="86" t="s">
        <v>759</v>
      </c>
      <c r="K61" s="86" t="s">
        <v>37</v>
      </c>
      <c r="L61" s="86" t="s">
        <v>697</v>
      </c>
      <c r="M61" s="86"/>
      <c r="N61" s="87">
        <v>0</v>
      </c>
      <c r="O61" s="87" t="s">
        <v>698</v>
      </c>
      <c r="P61" s="87">
        <v>0</v>
      </c>
      <c r="Q61" s="1" t="s">
        <v>698</v>
      </c>
      <c r="R61" s="1"/>
      <c r="S61" s="86" t="s">
        <v>760</v>
      </c>
    </row>
    <row r="62" spans="1:20" ht="14.25" customHeight="1" x14ac:dyDescent="0.2">
      <c r="A62" s="1" t="s">
        <v>64</v>
      </c>
      <c r="B62" s="1" t="s">
        <v>694</v>
      </c>
      <c r="C62" s="1" t="s">
        <v>704</v>
      </c>
      <c r="D62" s="1">
        <v>8</v>
      </c>
      <c r="E62" s="1" t="s">
        <v>65</v>
      </c>
      <c r="F62" s="1" t="s">
        <v>702</v>
      </c>
      <c r="G62" s="324">
        <v>299603</v>
      </c>
      <c r="H62" s="85">
        <v>43922</v>
      </c>
      <c r="I62" s="85">
        <v>45382</v>
      </c>
      <c r="J62" s="86" t="s">
        <v>39</v>
      </c>
      <c r="K62" s="86" t="s">
        <v>39</v>
      </c>
      <c r="L62" s="86" t="s">
        <v>697</v>
      </c>
      <c r="M62" s="293" t="s">
        <v>697</v>
      </c>
      <c r="N62" s="87">
        <v>24256</v>
      </c>
      <c r="O62" s="87" t="s">
        <v>698</v>
      </c>
      <c r="P62" s="87">
        <v>0</v>
      </c>
      <c r="Q62" s="1" t="s">
        <v>698</v>
      </c>
      <c r="R62" s="1"/>
      <c r="S62" s="86"/>
    </row>
    <row r="63" spans="1:20" ht="14.25" customHeight="1" x14ac:dyDescent="0.2">
      <c r="A63" s="1" t="s">
        <v>66</v>
      </c>
      <c r="B63" s="1" t="s">
        <v>694</v>
      </c>
      <c r="C63" s="1" t="s">
        <v>704</v>
      </c>
      <c r="D63" s="1">
        <v>9</v>
      </c>
      <c r="E63" s="1" t="s">
        <v>67</v>
      </c>
      <c r="F63" s="1" t="s">
        <v>598</v>
      </c>
      <c r="G63" s="324">
        <v>314020</v>
      </c>
      <c r="H63" s="85">
        <v>44409</v>
      </c>
      <c r="I63" s="85">
        <v>45473</v>
      </c>
      <c r="J63" s="86" t="s">
        <v>39</v>
      </c>
      <c r="K63" s="86" t="s">
        <v>39</v>
      </c>
      <c r="L63" s="86" t="s">
        <v>697</v>
      </c>
      <c r="M63" s="293" t="s">
        <v>778</v>
      </c>
      <c r="N63" s="87">
        <v>0</v>
      </c>
      <c r="O63" s="87" t="s">
        <v>698</v>
      </c>
      <c r="P63" s="87">
        <v>0</v>
      </c>
      <c r="Q63" s="1" t="s">
        <v>698</v>
      </c>
      <c r="R63" s="1"/>
      <c r="S63" s="86"/>
    </row>
    <row r="64" spans="1:20" ht="14.25" customHeight="1" x14ac:dyDescent="0.2">
      <c r="A64" s="1" t="s">
        <v>68</v>
      </c>
      <c r="B64" s="1" t="s">
        <v>694</v>
      </c>
      <c r="C64" s="1" t="s">
        <v>704</v>
      </c>
      <c r="D64" s="1">
        <v>9</v>
      </c>
      <c r="E64" s="1" t="s">
        <v>69</v>
      </c>
      <c r="F64" s="1" t="s">
        <v>628</v>
      </c>
      <c r="G64" s="324">
        <v>484227</v>
      </c>
      <c r="H64" s="85">
        <v>44378</v>
      </c>
      <c r="I64" s="85">
        <v>45473</v>
      </c>
      <c r="J64" s="86" t="s">
        <v>39</v>
      </c>
      <c r="K64" s="86" t="s">
        <v>39</v>
      </c>
      <c r="L64" s="86" t="s">
        <v>697</v>
      </c>
      <c r="M64" s="293" t="s">
        <v>760</v>
      </c>
      <c r="N64" s="87">
        <v>0</v>
      </c>
      <c r="O64" s="87" t="s">
        <v>698</v>
      </c>
      <c r="P64" s="87">
        <v>0</v>
      </c>
      <c r="Q64" s="1" t="s">
        <v>698</v>
      </c>
      <c r="R64" s="1"/>
      <c r="S64" s="86"/>
    </row>
    <row r="65" spans="1:20" ht="14.25" customHeight="1" x14ac:dyDescent="0.2">
      <c r="A65" s="1" t="s">
        <v>70</v>
      </c>
      <c r="B65" s="1" t="s">
        <v>694</v>
      </c>
      <c r="C65" s="1" t="s">
        <v>704</v>
      </c>
      <c r="D65" s="1">
        <v>9</v>
      </c>
      <c r="E65" s="1" t="s">
        <v>71</v>
      </c>
      <c r="F65" s="1" t="s">
        <v>702</v>
      </c>
      <c r="G65" s="324">
        <v>251807</v>
      </c>
      <c r="H65" s="85">
        <v>44378</v>
      </c>
      <c r="I65" s="85">
        <v>45382</v>
      </c>
      <c r="J65" s="86" t="s">
        <v>39</v>
      </c>
      <c r="K65" s="86" t="s">
        <v>39</v>
      </c>
      <c r="L65" s="86" t="s">
        <v>697</v>
      </c>
      <c r="M65" s="293" t="s">
        <v>697</v>
      </c>
      <c r="N65" s="87">
        <v>20762</v>
      </c>
      <c r="O65" s="87" t="s">
        <v>698</v>
      </c>
      <c r="P65" s="87">
        <v>0</v>
      </c>
      <c r="Q65" s="1" t="s">
        <v>698</v>
      </c>
      <c r="R65" s="1"/>
      <c r="S65" s="86"/>
    </row>
    <row r="66" spans="1:20" ht="14.25" customHeight="1" x14ac:dyDescent="0.2">
      <c r="A66" s="1" t="s">
        <v>72</v>
      </c>
      <c r="B66" s="1" t="s">
        <v>694</v>
      </c>
      <c r="C66" s="1" t="s">
        <v>704</v>
      </c>
      <c r="D66" s="1">
        <v>9</v>
      </c>
      <c r="E66" s="1" t="s">
        <v>73</v>
      </c>
      <c r="F66" s="1" t="s">
        <v>779</v>
      </c>
      <c r="G66" s="324">
        <v>228595</v>
      </c>
      <c r="H66" s="85">
        <v>44470</v>
      </c>
      <c r="I66" s="85">
        <v>45382</v>
      </c>
      <c r="J66" s="86" t="s">
        <v>39</v>
      </c>
      <c r="K66" s="86" t="s">
        <v>39</v>
      </c>
      <c r="L66" s="86" t="s">
        <v>697</v>
      </c>
      <c r="M66" s="293" t="s">
        <v>778</v>
      </c>
      <c r="N66" s="87">
        <v>0</v>
      </c>
      <c r="O66" s="87" t="s">
        <v>698</v>
      </c>
      <c r="P66" s="87">
        <v>0</v>
      </c>
      <c r="Q66" s="1" t="s">
        <v>698</v>
      </c>
      <c r="R66" s="1"/>
      <c r="S66" s="86"/>
    </row>
    <row r="67" spans="1:20" ht="14.25" customHeight="1" x14ac:dyDescent="0.2">
      <c r="A67" s="1" t="s">
        <v>305</v>
      </c>
      <c r="B67" s="1" t="s">
        <v>694</v>
      </c>
      <c r="C67" s="1" t="s">
        <v>704</v>
      </c>
      <c r="D67" s="1">
        <v>8</v>
      </c>
      <c r="E67" s="1" t="s">
        <v>403</v>
      </c>
      <c r="F67" s="1" t="s">
        <v>702</v>
      </c>
      <c r="G67" s="324">
        <v>304743</v>
      </c>
      <c r="H67" s="85">
        <v>44652</v>
      </c>
      <c r="I67" s="85">
        <v>45747</v>
      </c>
      <c r="J67" s="86" t="s">
        <v>759</v>
      </c>
      <c r="K67" s="86" t="s">
        <v>35</v>
      </c>
      <c r="L67" s="86" t="s">
        <v>697</v>
      </c>
      <c r="M67" s="86"/>
      <c r="N67" s="87">
        <v>16600</v>
      </c>
      <c r="O67" s="87">
        <v>6400</v>
      </c>
      <c r="P67" s="87">
        <v>0</v>
      </c>
      <c r="Q67" s="1">
        <v>0</v>
      </c>
      <c r="R67" s="1">
        <v>0</v>
      </c>
      <c r="S67" s="86" t="s">
        <v>697</v>
      </c>
    </row>
    <row r="68" spans="1:20" ht="14.25" customHeight="1" x14ac:dyDescent="0.2">
      <c r="A68" s="1" t="s">
        <v>74</v>
      </c>
      <c r="B68" s="1" t="s">
        <v>694</v>
      </c>
      <c r="C68" s="1" t="s">
        <v>704</v>
      </c>
      <c r="D68" s="1">
        <v>9</v>
      </c>
      <c r="E68" s="1" t="s">
        <v>75</v>
      </c>
      <c r="F68" s="1" t="s">
        <v>496</v>
      </c>
      <c r="G68" s="324">
        <v>300576</v>
      </c>
      <c r="H68" s="85">
        <v>44378</v>
      </c>
      <c r="I68" s="85">
        <v>45473</v>
      </c>
      <c r="J68" s="86" t="s">
        <v>39</v>
      </c>
      <c r="K68" s="86" t="s">
        <v>39</v>
      </c>
      <c r="L68" s="86" t="s">
        <v>697</v>
      </c>
      <c r="M68" s="293" t="s">
        <v>760</v>
      </c>
      <c r="N68" s="87">
        <v>117300</v>
      </c>
      <c r="O68" s="87" t="s">
        <v>698</v>
      </c>
      <c r="P68" s="87">
        <v>0</v>
      </c>
      <c r="Q68" s="1" t="s">
        <v>698</v>
      </c>
      <c r="R68" s="1"/>
      <c r="S68" s="86"/>
    </row>
    <row r="69" spans="1:20" ht="14.25" customHeight="1" x14ac:dyDescent="0.2">
      <c r="A69" s="1" t="s">
        <v>588</v>
      </c>
      <c r="B69" s="1" t="s">
        <v>694</v>
      </c>
      <c r="C69" s="1" t="s">
        <v>704</v>
      </c>
      <c r="D69" s="1">
        <v>9</v>
      </c>
      <c r="E69" s="1" t="s">
        <v>780</v>
      </c>
      <c r="F69" s="1" t="s">
        <v>781</v>
      </c>
      <c r="G69" s="324">
        <v>87246</v>
      </c>
      <c r="H69" s="85">
        <v>44531</v>
      </c>
      <c r="I69" s="85">
        <v>45260</v>
      </c>
      <c r="J69" s="86" t="s">
        <v>39</v>
      </c>
      <c r="K69" s="86" t="s">
        <v>39</v>
      </c>
      <c r="L69" s="86" t="s">
        <v>697</v>
      </c>
      <c r="M69" s="293" t="s">
        <v>697</v>
      </c>
      <c r="N69" s="87">
        <v>0</v>
      </c>
      <c r="O69" s="87" t="s">
        <v>698</v>
      </c>
      <c r="P69" s="87">
        <v>0</v>
      </c>
      <c r="Q69" s="1" t="s">
        <v>698</v>
      </c>
      <c r="R69" s="1"/>
      <c r="S69" s="86" t="s">
        <v>697</v>
      </c>
      <c r="T69" s="1" t="s">
        <v>782</v>
      </c>
    </row>
    <row r="70" spans="1:20" ht="14.25" customHeight="1" x14ac:dyDescent="0.25">
      <c r="A70" s="67" t="s">
        <v>604</v>
      </c>
      <c r="B70" s="1" t="s">
        <v>694</v>
      </c>
      <c r="C70" s="1" t="s">
        <v>704</v>
      </c>
      <c r="D70" s="1">
        <v>9</v>
      </c>
      <c r="E70" s="1" t="s">
        <v>783</v>
      </c>
      <c r="F70" s="1" t="s">
        <v>605</v>
      </c>
      <c r="G70" s="324">
        <v>58798</v>
      </c>
      <c r="H70" s="85" t="s">
        <v>784</v>
      </c>
      <c r="I70" s="85">
        <v>45199</v>
      </c>
      <c r="J70" s="86" t="s">
        <v>39</v>
      </c>
      <c r="K70" s="86" t="s">
        <v>39</v>
      </c>
      <c r="L70" s="86" t="s">
        <v>697</v>
      </c>
      <c r="M70" s="86" t="s">
        <v>697</v>
      </c>
      <c r="N70">
        <v>51082</v>
      </c>
      <c r="O70">
        <v>27047.08</v>
      </c>
      <c r="P70">
        <v>0</v>
      </c>
      <c r="Q70" t="s">
        <v>698</v>
      </c>
      <c r="S70" s="1" t="s">
        <v>697</v>
      </c>
      <c r="T70" s="1" t="s">
        <v>785</v>
      </c>
    </row>
    <row r="71" spans="1:20" ht="14.25" customHeight="1" x14ac:dyDescent="0.2">
      <c r="A71" s="1" t="s">
        <v>76</v>
      </c>
      <c r="B71" s="1" t="s">
        <v>694</v>
      </c>
      <c r="C71" s="1" t="s">
        <v>704</v>
      </c>
      <c r="D71" s="1">
        <v>9</v>
      </c>
      <c r="E71" s="1" t="s">
        <v>77</v>
      </c>
      <c r="F71" s="1" t="s">
        <v>605</v>
      </c>
      <c r="G71" s="324">
        <v>184192</v>
      </c>
      <c r="H71" s="85">
        <v>44440</v>
      </c>
      <c r="I71" s="85">
        <v>45382</v>
      </c>
      <c r="J71" s="86" t="s">
        <v>39</v>
      </c>
      <c r="K71" s="86" t="s">
        <v>39</v>
      </c>
      <c r="L71" s="86" t="s">
        <v>697</v>
      </c>
      <c r="M71" s="293" t="s">
        <v>697</v>
      </c>
      <c r="N71" s="87">
        <v>13764</v>
      </c>
      <c r="O71" s="87" t="s">
        <v>698</v>
      </c>
      <c r="P71" s="87">
        <v>0</v>
      </c>
      <c r="Q71" s="1" t="s">
        <v>698</v>
      </c>
      <c r="R71" s="1"/>
      <c r="S71" s="86"/>
    </row>
    <row r="72" spans="1:20" ht="14.1" customHeight="1" x14ac:dyDescent="0.2">
      <c r="A72" s="1" t="s">
        <v>306</v>
      </c>
      <c r="B72" s="1" t="s">
        <v>694</v>
      </c>
      <c r="C72" s="1" t="s">
        <v>704</v>
      </c>
      <c r="D72" s="1">
        <v>9</v>
      </c>
      <c r="E72" s="1" t="s">
        <v>404</v>
      </c>
      <c r="F72" s="1" t="s">
        <v>496</v>
      </c>
      <c r="G72" s="324">
        <v>284755</v>
      </c>
      <c r="H72" s="85">
        <v>44470</v>
      </c>
      <c r="I72" s="85">
        <v>45565</v>
      </c>
      <c r="J72" s="86" t="s">
        <v>759</v>
      </c>
      <c r="K72" s="86" t="s">
        <v>36</v>
      </c>
      <c r="L72" s="86" t="s">
        <v>697</v>
      </c>
      <c r="M72" s="86"/>
      <c r="N72" s="87">
        <v>47000</v>
      </c>
      <c r="O72" s="87">
        <v>74450</v>
      </c>
      <c r="P72" s="87">
        <v>0</v>
      </c>
      <c r="Q72" s="1">
        <v>0</v>
      </c>
      <c r="R72" s="1"/>
      <c r="S72" s="86" t="s">
        <v>697</v>
      </c>
    </row>
    <row r="73" spans="1:20" ht="14.25" customHeight="1" x14ac:dyDescent="0.2">
      <c r="A73" s="1" t="s">
        <v>307</v>
      </c>
      <c r="B73" s="1" t="s">
        <v>694</v>
      </c>
      <c r="C73" s="1" t="s">
        <v>704</v>
      </c>
      <c r="D73" s="1">
        <v>9</v>
      </c>
      <c r="E73" s="1" t="s">
        <v>405</v>
      </c>
      <c r="F73" s="1" t="s">
        <v>500</v>
      </c>
      <c r="G73" s="324">
        <v>499991</v>
      </c>
      <c r="H73" s="85">
        <v>44378</v>
      </c>
      <c r="I73" s="85">
        <v>45473</v>
      </c>
      <c r="J73" s="86" t="s">
        <v>759</v>
      </c>
      <c r="K73" s="86" t="s">
        <v>36</v>
      </c>
      <c r="L73" s="86" t="s">
        <v>697</v>
      </c>
      <c r="M73" s="86"/>
      <c r="N73" s="87">
        <v>85890</v>
      </c>
      <c r="O73" s="87">
        <v>93930</v>
      </c>
      <c r="P73" s="87">
        <v>0</v>
      </c>
      <c r="Q73" s="1">
        <v>0</v>
      </c>
      <c r="R73" s="1">
        <v>17</v>
      </c>
      <c r="S73" s="86" t="s">
        <v>697</v>
      </c>
    </row>
    <row r="74" spans="1:20" ht="14.25" customHeight="1" x14ac:dyDescent="0.2">
      <c r="A74" s="1" t="s">
        <v>78</v>
      </c>
      <c r="B74" s="1" t="s">
        <v>694</v>
      </c>
      <c r="C74" s="1" t="s">
        <v>704</v>
      </c>
      <c r="D74" s="1">
        <v>9</v>
      </c>
      <c r="E74" s="1" t="s">
        <v>79</v>
      </c>
      <c r="F74" s="1" t="s">
        <v>605</v>
      </c>
      <c r="G74" s="324">
        <v>182846</v>
      </c>
      <c r="H74" s="85">
        <v>44378</v>
      </c>
      <c r="I74" s="85">
        <v>45473</v>
      </c>
      <c r="J74" s="86" t="s">
        <v>39</v>
      </c>
      <c r="K74" s="86" t="s">
        <v>39</v>
      </c>
      <c r="L74" s="86" t="s">
        <v>697</v>
      </c>
      <c r="M74" s="293" t="s">
        <v>697</v>
      </c>
      <c r="N74" s="87">
        <v>15541</v>
      </c>
      <c r="O74" s="87" t="s">
        <v>698</v>
      </c>
      <c r="P74" s="87">
        <v>0</v>
      </c>
      <c r="Q74" s="1" t="s">
        <v>698</v>
      </c>
      <c r="R74" s="1"/>
      <c r="S74" s="86"/>
    </row>
    <row r="75" spans="1:20" ht="14.25" customHeight="1" x14ac:dyDescent="0.2">
      <c r="A75" s="1" t="s">
        <v>80</v>
      </c>
      <c r="B75" s="1" t="s">
        <v>694</v>
      </c>
      <c r="C75" s="1" t="s">
        <v>704</v>
      </c>
      <c r="D75" s="1">
        <v>9</v>
      </c>
      <c r="E75" s="1" t="s">
        <v>81</v>
      </c>
      <c r="F75" s="1" t="s">
        <v>496</v>
      </c>
      <c r="G75" s="324">
        <v>371004</v>
      </c>
      <c r="H75" s="85">
        <v>44378</v>
      </c>
      <c r="I75" s="85">
        <v>45688</v>
      </c>
      <c r="J75" s="86" t="s">
        <v>39</v>
      </c>
      <c r="K75" s="86" t="s">
        <v>39</v>
      </c>
      <c r="L75" s="86" t="s">
        <v>760</v>
      </c>
      <c r="M75" s="293" t="s">
        <v>786</v>
      </c>
      <c r="N75" s="87">
        <v>0</v>
      </c>
      <c r="O75" s="87" t="s">
        <v>698</v>
      </c>
      <c r="P75" s="87">
        <v>0</v>
      </c>
      <c r="Q75" s="1" t="s">
        <v>698</v>
      </c>
      <c r="R75" s="1"/>
      <c r="S75" s="86"/>
    </row>
    <row r="76" spans="1:20" ht="14.25" customHeight="1" x14ac:dyDescent="0.25">
      <c r="A76" s="67" t="s">
        <v>606</v>
      </c>
      <c r="B76" s="1" t="s">
        <v>694</v>
      </c>
      <c r="C76" s="1" t="s">
        <v>704</v>
      </c>
      <c r="D76" s="1">
        <v>9</v>
      </c>
      <c r="E76" s="1" t="s">
        <v>787</v>
      </c>
      <c r="F76" s="1" t="s">
        <v>598</v>
      </c>
      <c r="G76" s="324">
        <v>73672</v>
      </c>
      <c r="H76" s="85" t="s">
        <v>784</v>
      </c>
      <c r="I76" s="85">
        <v>45107</v>
      </c>
      <c r="J76" s="86" t="s">
        <v>39</v>
      </c>
      <c r="K76" s="86" t="s">
        <v>39</v>
      </c>
      <c r="L76" s="86" t="s">
        <v>697</v>
      </c>
      <c r="M76" s="86" t="s">
        <v>697</v>
      </c>
      <c r="N76">
        <v>41647.870000000003</v>
      </c>
      <c r="O76">
        <v>20628.160000000003</v>
      </c>
      <c r="P76">
        <v>83530</v>
      </c>
      <c r="Q76" t="s">
        <v>698</v>
      </c>
      <c r="S76" s="1" t="s">
        <v>697</v>
      </c>
      <c r="T76" s="1" t="s">
        <v>788</v>
      </c>
    </row>
    <row r="77" spans="1:20" ht="14.25" customHeight="1" x14ac:dyDescent="0.25">
      <c r="A77" s="67" t="s">
        <v>607</v>
      </c>
      <c r="B77" s="1" t="s">
        <v>694</v>
      </c>
      <c r="C77" s="1" t="s">
        <v>704</v>
      </c>
      <c r="D77" s="1">
        <v>9</v>
      </c>
      <c r="E77" s="1" t="s">
        <v>789</v>
      </c>
      <c r="F77" s="1" t="s">
        <v>700</v>
      </c>
      <c r="G77" s="324">
        <v>85460</v>
      </c>
      <c r="H77" s="85" t="s">
        <v>790</v>
      </c>
      <c r="I77" s="85">
        <v>45046</v>
      </c>
      <c r="J77" s="86" t="s">
        <v>39</v>
      </c>
      <c r="K77" s="86" t="s">
        <v>39</v>
      </c>
      <c r="L77" s="86" t="s">
        <v>697</v>
      </c>
      <c r="M77" s="86" t="s">
        <v>791</v>
      </c>
      <c r="N77">
        <v>104200</v>
      </c>
      <c r="O77">
        <v>23928.800000000003</v>
      </c>
      <c r="P77">
        <v>15000</v>
      </c>
      <c r="Q77" t="s">
        <v>698</v>
      </c>
      <c r="S77" s="1" t="s">
        <v>697</v>
      </c>
      <c r="T77" s="1" t="s">
        <v>792</v>
      </c>
    </row>
    <row r="78" spans="1:20" ht="14.25" customHeight="1" x14ac:dyDescent="0.2">
      <c r="A78" s="1" t="s">
        <v>82</v>
      </c>
      <c r="B78" s="1" t="s">
        <v>694</v>
      </c>
      <c r="C78" s="1" t="s">
        <v>704</v>
      </c>
      <c r="D78" s="1">
        <v>9</v>
      </c>
      <c r="E78" s="1" t="s">
        <v>83</v>
      </c>
      <c r="F78" s="1" t="s">
        <v>628</v>
      </c>
      <c r="G78" s="324">
        <v>207681</v>
      </c>
      <c r="H78" s="85">
        <v>44470</v>
      </c>
      <c r="I78" s="85">
        <v>45350</v>
      </c>
      <c r="J78" s="86" t="s">
        <v>39</v>
      </c>
      <c r="K78" s="86" t="s">
        <v>39</v>
      </c>
      <c r="L78" s="86" t="s">
        <v>697</v>
      </c>
      <c r="M78" s="293" t="s">
        <v>697</v>
      </c>
      <c r="N78" s="87">
        <v>79022</v>
      </c>
      <c r="O78" s="87" t="s">
        <v>698</v>
      </c>
      <c r="P78" s="87">
        <v>25000</v>
      </c>
      <c r="Q78" s="1" t="s">
        <v>698</v>
      </c>
      <c r="R78" s="1"/>
      <c r="S78" s="86"/>
    </row>
    <row r="79" spans="1:20" ht="14.25" customHeight="1" x14ac:dyDescent="0.2">
      <c r="A79" s="1" t="s">
        <v>84</v>
      </c>
      <c r="B79" s="1" t="s">
        <v>694</v>
      </c>
      <c r="C79" s="1" t="s">
        <v>704</v>
      </c>
      <c r="D79" s="1">
        <v>9</v>
      </c>
      <c r="E79" s="1" t="s">
        <v>85</v>
      </c>
      <c r="F79" s="1" t="s">
        <v>716</v>
      </c>
      <c r="G79" s="324">
        <v>342150</v>
      </c>
      <c r="H79" s="85">
        <v>44378</v>
      </c>
      <c r="I79" s="85">
        <v>45473</v>
      </c>
      <c r="J79" s="86" t="s">
        <v>39</v>
      </c>
      <c r="K79" s="86" t="s">
        <v>39</v>
      </c>
      <c r="L79" s="86" t="s">
        <v>697</v>
      </c>
      <c r="M79" s="293" t="s">
        <v>697</v>
      </c>
      <c r="N79" s="87">
        <v>49984</v>
      </c>
      <c r="O79" s="87" t="s">
        <v>698</v>
      </c>
      <c r="P79" s="87">
        <v>85000</v>
      </c>
      <c r="Q79" s="1" t="s">
        <v>698</v>
      </c>
      <c r="R79" s="1"/>
      <c r="S79" s="86"/>
    </row>
    <row r="80" spans="1:20" ht="14.25" customHeight="1" x14ac:dyDescent="0.2">
      <c r="A80" s="1" t="s">
        <v>86</v>
      </c>
      <c r="B80" s="1" t="s">
        <v>694</v>
      </c>
      <c r="C80" s="1" t="s">
        <v>704</v>
      </c>
      <c r="D80" s="1">
        <v>9</v>
      </c>
      <c r="E80" s="1" t="s">
        <v>87</v>
      </c>
      <c r="F80" s="1" t="s">
        <v>605</v>
      </c>
      <c r="G80" s="324">
        <v>262948</v>
      </c>
      <c r="H80" s="85">
        <v>44652</v>
      </c>
      <c r="I80" s="85">
        <v>45747</v>
      </c>
      <c r="J80" s="86" t="s">
        <v>759</v>
      </c>
      <c r="K80" s="86" t="s">
        <v>35</v>
      </c>
      <c r="L80" s="86" t="s">
        <v>697</v>
      </c>
      <c r="M80" s="86"/>
      <c r="N80" s="87">
        <v>47209.11</v>
      </c>
      <c r="O80" s="87" t="s">
        <v>698</v>
      </c>
      <c r="P80" s="87">
        <v>0</v>
      </c>
      <c r="Q80" s="1" t="s">
        <v>698</v>
      </c>
      <c r="R80" s="1">
        <v>50</v>
      </c>
      <c r="S80" s="86" t="s">
        <v>760</v>
      </c>
    </row>
    <row r="81" spans="1:20" ht="14.25" customHeight="1" x14ac:dyDescent="0.2">
      <c r="A81" s="1" t="s">
        <v>88</v>
      </c>
      <c r="B81" s="1" t="s">
        <v>694</v>
      </c>
      <c r="C81" s="1" t="s">
        <v>704</v>
      </c>
      <c r="D81" s="1">
        <v>9</v>
      </c>
      <c r="E81" s="1" t="s">
        <v>89</v>
      </c>
      <c r="F81" s="1" t="s">
        <v>724</v>
      </c>
      <c r="G81" s="324">
        <v>95392</v>
      </c>
      <c r="H81" s="85">
        <v>44378</v>
      </c>
      <c r="I81" s="85">
        <v>45382</v>
      </c>
      <c r="J81" s="86" t="s">
        <v>39</v>
      </c>
      <c r="K81" s="86" t="s">
        <v>39</v>
      </c>
      <c r="L81" s="86" t="s">
        <v>697</v>
      </c>
      <c r="M81" s="293" t="s">
        <v>793</v>
      </c>
      <c r="N81" s="87">
        <v>0</v>
      </c>
      <c r="O81" s="87" t="s">
        <v>698</v>
      </c>
      <c r="P81" s="87">
        <v>0</v>
      </c>
      <c r="Q81" s="1" t="s">
        <v>698</v>
      </c>
      <c r="R81" s="1"/>
      <c r="S81" s="86"/>
    </row>
    <row r="82" spans="1:20" ht="14.25" customHeight="1" x14ac:dyDescent="0.2">
      <c r="A82" s="1" t="s">
        <v>90</v>
      </c>
      <c r="B82" s="1" t="s">
        <v>694</v>
      </c>
      <c r="C82" s="1" t="s">
        <v>704</v>
      </c>
      <c r="D82" s="1">
        <v>9</v>
      </c>
      <c r="E82" s="1" t="s">
        <v>91</v>
      </c>
      <c r="F82" s="1" t="s">
        <v>724</v>
      </c>
      <c r="G82" s="324">
        <v>323780</v>
      </c>
      <c r="H82" s="85">
        <v>44378</v>
      </c>
      <c r="I82" s="85">
        <v>45473</v>
      </c>
      <c r="J82" s="86" t="s">
        <v>39</v>
      </c>
      <c r="K82" s="86" t="s">
        <v>39</v>
      </c>
      <c r="L82" s="86" t="s">
        <v>697</v>
      </c>
      <c r="M82" s="293" t="s">
        <v>697</v>
      </c>
      <c r="N82" s="87">
        <v>174230</v>
      </c>
      <c r="O82" s="87" t="s">
        <v>698</v>
      </c>
      <c r="P82" s="87">
        <v>6367</v>
      </c>
      <c r="Q82" s="1" t="s">
        <v>698</v>
      </c>
      <c r="R82" s="1"/>
      <c r="S82" s="86"/>
    </row>
    <row r="83" spans="1:20" ht="14.25" customHeight="1" x14ac:dyDescent="0.2">
      <c r="A83" s="1" t="s">
        <v>794</v>
      </c>
      <c r="B83" s="1" t="s">
        <v>694</v>
      </c>
      <c r="C83" s="1" t="s">
        <v>704</v>
      </c>
      <c r="D83" s="1">
        <v>9</v>
      </c>
      <c r="E83" s="1" t="s">
        <v>795</v>
      </c>
      <c r="F83" s="1" t="s">
        <v>618</v>
      </c>
      <c r="G83" s="324">
        <v>316829</v>
      </c>
      <c r="H83" s="85">
        <v>44409</v>
      </c>
      <c r="I83" s="85">
        <v>45169</v>
      </c>
      <c r="J83" s="86" t="s">
        <v>39</v>
      </c>
      <c r="K83" s="86" t="s">
        <v>39</v>
      </c>
      <c r="L83" s="86" t="s">
        <v>697</v>
      </c>
      <c r="M83" s="293" t="s">
        <v>760</v>
      </c>
      <c r="N83" s="87">
        <v>0</v>
      </c>
      <c r="O83" s="87" t="s">
        <v>698</v>
      </c>
      <c r="P83" s="87">
        <v>0</v>
      </c>
      <c r="Q83" s="1" t="s">
        <v>698</v>
      </c>
      <c r="R83" s="1"/>
      <c r="S83" s="86" t="s">
        <v>697</v>
      </c>
      <c r="T83" s="1" t="s">
        <v>796</v>
      </c>
    </row>
    <row r="84" spans="1:20" ht="14.25" customHeight="1" x14ac:dyDescent="0.2">
      <c r="A84" s="1" t="s">
        <v>308</v>
      </c>
      <c r="B84" s="1" t="s">
        <v>694</v>
      </c>
      <c r="C84" s="1" t="s">
        <v>704</v>
      </c>
      <c r="D84" s="1">
        <v>9</v>
      </c>
      <c r="E84" s="1" t="s">
        <v>406</v>
      </c>
      <c r="F84" s="1" t="s">
        <v>496</v>
      </c>
      <c r="G84" s="324">
        <v>328144</v>
      </c>
      <c r="H84" s="85">
        <v>44378</v>
      </c>
      <c r="I84" s="85">
        <v>45412</v>
      </c>
      <c r="J84" s="86" t="s">
        <v>759</v>
      </c>
      <c r="K84" s="86" t="s">
        <v>36</v>
      </c>
      <c r="L84" s="86" t="s">
        <v>697</v>
      </c>
      <c r="M84" s="86"/>
      <c r="N84" s="87">
        <v>500000</v>
      </c>
      <c r="O84" s="87">
        <v>12264</v>
      </c>
      <c r="P84" s="87">
        <v>12264</v>
      </c>
      <c r="Q84" s="1">
        <v>0</v>
      </c>
      <c r="R84" s="1">
        <v>66</v>
      </c>
      <c r="S84" s="86" t="s">
        <v>697</v>
      </c>
    </row>
    <row r="85" spans="1:20" ht="14.25" customHeight="1" x14ac:dyDescent="0.2">
      <c r="A85" s="1" t="s">
        <v>92</v>
      </c>
      <c r="B85" s="1" t="s">
        <v>694</v>
      </c>
      <c r="C85" s="1" t="s">
        <v>704</v>
      </c>
      <c r="D85" s="1">
        <v>9</v>
      </c>
      <c r="E85" s="1" t="s">
        <v>93</v>
      </c>
      <c r="F85" s="1" t="s">
        <v>797</v>
      </c>
      <c r="G85" s="324">
        <v>496257</v>
      </c>
      <c r="H85" s="85">
        <v>44378</v>
      </c>
      <c r="I85" s="85">
        <v>45382</v>
      </c>
      <c r="J85" s="86" t="s">
        <v>39</v>
      </c>
      <c r="K85" s="86" t="s">
        <v>39</v>
      </c>
      <c r="L85" s="86" t="s">
        <v>697</v>
      </c>
      <c r="M85" s="293" t="s">
        <v>760</v>
      </c>
      <c r="N85" s="87">
        <v>0</v>
      </c>
      <c r="O85" s="87" t="s">
        <v>698</v>
      </c>
      <c r="P85" s="87">
        <v>0</v>
      </c>
      <c r="Q85" s="1" t="s">
        <v>698</v>
      </c>
      <c r="R85" s="1"/>
      <c r="S85" s="86"/>
    </row>
    <row r="86" spans="1:20" ht="14.25" customHeight="1" x14ac:dyDescent="0.2">
      <c r="A86" s="1" t="s">
        <v>94</v>
      </c>
      <c r="B86" s="1" t="s">
        <v>694</v>
      </c>
      <c r="C86" s="1" t="s">
        <v>704</v>
      </c>
      <c r="D86" s="1">
        <v>9</v>
      </c>
      <c r="E86" s="1" t="s">
        <v>95</v>
      </c>
      <c r="F86" s="1" t="s">
        <v>700</v>
      </c>
      <c r="G86" s="324">
        <v>316882</v>
      </c>
      <c r="H86" s="85">
        <v>44378</v>
      </c>
      <c r="I86" s="85">
        <v>45382</v>
      </c>
      <c r="J86" s="86" t="s">
        <v>39</v>
      </c>
      <c r="K86" s="86" t="s">
        <v>39</v>
      </c>
      <c r="L86" s="86" t="s">
        <v>697</v>
      </c>
      <c r="M86" s="293" t="s">
        <v>697</v>
      </c>
      <c r="N86" s="87">
        <v>33880</v>
      </c>
      <c r="O86" s="87" t="s">
        <v>698</v>
      </c>
      <c r="P86" s="87">
        <v>5625</v>
      </c>
      <c r="Q86" s="1" t="s">
        <v>698</v>
      </c>
      <c r="R86" s="1"/>
      <c r="S86" s="86"/>
    </row>
    <row r="87" spans="1:20" ht="14.25" customHeight="1" x14ac:dyDescent="0.2">
      <c r="A87" s="1" t="s">
        <v>96</v>
      </c>
      <c r="B87" s="1" t="s">
        <v>694</v>
      </c>
      <c r="C87" s="1" t="s">
        <v>704</v>
      </c>
      <c r="D87" s="1">
        <v>9</v>
      </c>
      <c r="E87" s="1" t="s">
        <v>97</v>
      </c>
      <c r="F87" s="1" t="s">
        <v>724</v>
      </c>
      <c r="G87" s="324">
        <v>469653</v>
      </c>
      <c r="H87" s="85">
        <v>44531</v>
      </c>
      <c r="I87" s="85">
        <v>45443</v>
      </c>
      <c r="J87" s="86" t="s">
        <v>39</v>
      </c>
      <c r="K87" s="86" t="s">
        <v>39</v>
      </c>
      <c r="L87" s="86" t="s">
        <v>697</v>
      </c>
      <c r="M87" s="293" t="s">
        <v>697</v>
      </c>
      <c r="N87" s="87">
        <v>382368</v>
      </c>
      <c r="O87" s="87" t="s">
        <v>698</v>
      </c>
      <c r="P87" s="87">
        <v>109161</v>
      </c>
      <c r="Q87" s="1" t="s">
        <v>698</v>
      </c>
      <c r="R87" s="1"/>
      <c r="S87" s="86"/>
    </row>
    <row r="88" spans="1:20" ht="14.25" customHeight="1" x14ac:dyDescent="0.25">
      <c r="A88" s="67" t="s">
        <v>798</v>
      </c>
      <c r="B88" s="1" t="s">
        <v>694</v>
      </c>
      <c r="C88" s="1" t="s">
        <v>704</v>
      </c>
      <c r="D88" s="1">
        <v>9</v>
      </c>
      <c r="E88" s="1" t="s">
        <v>799</v>
      </c>
      <c r="F88" s="1" t="s">
        <v>754</v>
      </c>
      <c r="G88" s="324">
        <v>356763</v>
      </c>
      <c r="H88" s="85" t="s">
        <v>784</v>
      </c>
      <c r="I88" s="85">
        <v>45107</v>
      </c>
      <c r="J88" s="86" t="s">
        <v>39</v>
      </c>
      <c r="K88" s="86" t="s">
        <v>39</v>
      </c>
      <c r="L88" s="86" t="s">
        <v>697</v>
      </c>
      <c r="M88" s="1" t="s">
        <v>760</v>
      </c>
      <c r="N88" t="s">
        <v>698</v>
      </c>
      <c r="O88" t="s">
        <v>698</v>
      </c>
      <c r="P88" t="s">
        <v>698</v>
      </c>
      <c r="Q88" t="s">
        <v>698</v>
      </c>
      <c r="S88" s="1" t="s">
        <v>697</v>
      </c>
      <c r="T88" s="1" t="s">
        <v>800</v>
      </c>
    </row>
    <row r="89" spans="1:20" ht="14.25" customHeight="1" x14ac:dyDescent="0.2">
      <c r="A89" s="1" t="s">
        <v>98</v>
      </c>
      <c r="B89" s="1" t="s">
        <v>694</v>
      </c>
      <c r="C89" s="1" t="s">
        <v>704</v>
      </c>
      <c r="D89" s="1">
        <v>9</v>
      </c>
      <c r="E89" s="1" t="s">
        <v>99</v>
      </c>
      <c r="F89" s="1" t="s">
        <v>598</v>
      </c>
      <c r="G89" s="325">
        <v>355190</v>
      </c>
      <c r="H89" s="85">
        <v>44440</v>
      </c>
      <c r="I89" s="85">
        <v>45382</v>
      </c>
      <c r="J89" s="86" t="s">
        <v>39</v>
      </c>
      <c r="K89" s="86" t="s">
        <v>39</v>
      </c>
      <c r="L89" s="86" t="s">
        <v>697</v>
      </c>
      <c r="M89" s="293" t="s">
        <v>697</v>
      </c>
      <c r="N89" s="87">
        <v>180240</v>
      </c>
      <c r="O89" s="87" t="s">
        <v>698</v>
      </c>
      <c r="P89" s="87">
        <v>0</v>
      </c>
      <c r="Q89" s="1" t="s">
        <v>698</v>
      </c>
      <c r="R89" s="1"/>
      <c r="S89" s="86"/>
    </row>
    <row r="90" spans="1:20" ht="14.25" customHeight="1" x14ac:dyDescent="0.25">
      <c r="A90" s="67" t="s">
        <v>801</v>
      </c>
      <c r="B90" s="1" t="s">
        <v>694</v>
      </c>
      <c r="C90" s="1" t="s">
        <v>704</v>
      </c>
      <c r="D90" s="1">
        <v>9</v>
      </c>
      <c r="E90" s="1" t="s">
        <v>802</v>
      </c>
      <c r="F90" s="1" t="s">
        <v>754</v>
      </c>
      <c r="G90" s="324">
        <v>248650</v>
      </c>
      <c r="H90" s="85" t="s">
        <v>784</v>
      </c>
      <c r="I90" s="85">
        <v>45107</v>
      </c>
      <c r="J90" s="86" t="s">
        <v>39</v>
      </c>
      <c r="K90" s="86" t="s">
        <v>39</v>
      </c>
      <c r="L90" s="86" t="s">
        <v>697</v>
      </c>
      <c r="M90" s="1" t="s">
        <v>760</v>
      </c>
      <c r="N90" t="s">
        <v>698</v>
      </c>
      <c r="O90" t="s">
        <v>698</v>
      </c>
      <c r="P90" t="s">
        <v>698</v>
      </c>
      <c r="Q90" t="s">
        <v>698</v>
      </c>
      <c r="S90" s="1" t="s">
        <v>697</v>
      </c>
      <c r="T90" s="1" t="s">
        <v>788</v>
      </c>
    </row>
    <row r="91" spans="1:20" ht="14.25" customHeight="1" x14ac:dyDescent="0.2">
      <c r="A91" s="1" t="s">
        <v>100</v>
      </c>
      <c r="B91" s="1" t="s">
        <v>694</v>
      </c>
      <c r="C91" s="1" t="s">
        <v>704</v>
      </c>
      <c r="D91" s="1">
        <v>9</v>
      </c>
      <c r="E91" s="1" t="s">
        <v>101</v>
      </c>
      <c r="F91" s="1" t="s">
        <v>702</v>
      </c>
      <c r="G91" s="325">
        <v>344905</v>
      </c>
      <c r="H91" s="85">
        <v>44378</v>
      </c>
      <c r="I91" s="85">
        <v>45382</v>
      </c>
      <c r="J91" s="86" t="s">
        <v>39</v>
      </c>
      <c r="K91" s="86" t="s">
        <v>39</v>
      </c>
      <c r="L91" s="86" t="s">
        <v>697</v>
      </c>
      <c r="M91" s="293" t="s">
        <v>697</v>
      </c>
      <c r="N91" s="87">
        <v>259409</v>
      </c>
      <c r="O91" s="87" t="s">
        <v>698</v>
      </c>
      <c r="P91" s="87">
        <v>2400</v>
      </c>
      <c r="Q91" s="1" t="s">
        <v>698</v>
      </c>
      <c r="R91" s="1"/>
      <c r="S91" s="86"/>
    </row>
    <row r="92" spans="1:20" ht="14.25" customHeight="1" x14ac:dyDescent="0.2">
      <c r="A92" s="1" t="s">
        <v>102</v>
      </c>
      <c r="B92" s="1" t="s">
        <v>694</v>
      </c>
      <c r="C92" s="1" t="s">
        <v>704</v>
      </c>
      <c r="D92" s="1">
        <v>9</v>
      </c>
      <c r="E92" s="1" t="s">
        <v>103</v>
      </c>
      <c r="F92" s="1" t="s">
        <v>517</v>
      </c>
      <c r="G92" s="325">
        <v>344345</v>
      </c>
      <c r="H92" s="85">
        <v>44531</v>
      </c>
      <c r="I92" s="85">
        <v>45565</v>
      </c>
      <c r="J92" s="86" t="s">
        <v>759</v>
      </c>
      <c r="K92" s="86" t="s">
        <v>36</v>
      </c>
      <c r="L92" s="86" t="s">
        <v>697</v>
      </c>
      <c r="M92" s="86"/>
      <c r="N92" s="87">
        <v>91665</v>
      </c>
      <c r="O92" s="87" t="s">
        <v>698</v>
      </c>
      <c r="P92" s="87">
        <v>0</v>
      </c>
      <c r="Q92" s="1" t="s">
        <v>698</v>
      </c>
      <c r="R92" s="1">
        <v>100</v>
      </c>
      <c r="S92" s="86" t="s">
        <v>760</v>
      </c>
    </row>
    <row r="93" spans="1:20" ht="14.25" customHeight="1" x14ac:dyDescent="0.2">
      <c r="A93" s="1" t="s">
        <v>104</v>
      </c>
      <c r="B93" s="1" t="s">
        <v>694</v>
      </c>
      <c r="C93" s="1" t="s">
        <v>704</v>
      </c>
      <c r="D93" s="1">
        <v>9</v>
      </c>
      <c r="E93" s="1" t="s">
        <v>105</v>
      </c>
      <c r="F93" s="1" t="s">
        <v>572</v>
      </c>
      <c r="G93" s="325">
        <v>293447</v>
      </c>
      <c r="H93" s="85">
        <v>44470</v>
      </c>
      <c r="I93" s="85">
        <v>45565</v>
      </c>
      <c r="J93" s="86" t="s">
        <v>759</v>
      </c>
      <c r="K93" s="86" t="s">
        <v>36</v>
      </c>
      <c r="L93" s="86" t="s">
        <v>697</v>
      </c>
      <c r="M93" s="86"/>
      <c r="N93" s="87">
        <v>60764</v>
      </c>
      <c r="O93" s="87" t="s">
        <v>698</v>
      </c>
      <c r="P93" s="87">
        <v>0</v>
      </c>
      <c r="Q93" s="1" t="s">
        <v>698</v>
      </c>
      <c r="R93" s="1">
        <v>100</v>
      </c>
      <c r="S93" s="86" t="s">
        <v>760</v>
      </c>
    </row>
    <row r="94" spans="1:20" ht="14.25" customHeight="1" x14ac:dyDescent="0.2">
      <c r="A94" s="1" t="s">
        <v>106</v>
      </c>
      <c r="B94" s="1" t="s">
        <v>694</v>
      </c>
      <c r="C94" s="1" t="s">
        <v>704</v>
      </c>
      <c r="D94" s="1">
        <v>9</v>
      </c>
      <c r="E94" s="1" t="s">
        <v>107</v>
      </c>
      <c r="F94" s="1" t="s">
        <v>517</v>
      </c>
      <c r="G94" s="325">
        <v>80000</v>
      </c>
      <c r="H94" s="85">
        <v>44455</v>
      </c>
      <c r="I94" s="85">
        <v>45747</v>
      </c>
      <c r="J94" s="86" t="s">
        <v>759</v>
      </c>
      <c r="K94" s="86" t="s">
        <v>36</v>
      </c>
      <c r="L94" s="86" t="s">
        <v>697</v>
      </c>
      <c r="M94" s="86"/>
      <c r="N94" s="87">
        <v>138525</v>
      </c>
      <c r="O94" s="87" t="s">
        <v>698</v>
      </c>
      <c r="P94" s="87">
        <v>149000</v>
      </c>
      <c r="Q94" s="1" t="s">
        <v>698</v>
      </c>
      <c r="R94" s="1">
        <v>50</v>
      </c>
      <c r="S94" s="86"/>
    </row>
    <row r="95" spans="1:20" ht="14.25" customHeight="1" x14ac:dyDescent="0.2">
      <c r="A95" s="1" t="s">
        <v>108</v>
      </c>
      <c r="B95" s="1" t="s">
        <v>694</v>
      </c>
      <c r="C95" s="1" t="s">
        <v>704</v>
      </c>
      <c r="D95" s="1">
        <v>10</v>
      </c>
      <c r="E95" s="1" t="s">
        <v>109</v>
      </c>
      <c r="F95" s="1" t="s">
        <v>496</v>
      </c>
      <c r="G95" s="325">
        <v>499982</v>
      </c>
      <c r="H95" s="85">
        <v>44682</v>
      </c>
      <c r="I95" s="85">
        <v>45747</v>
      </c>
      <c r="J95" s="86" t="s">
        <v>759</v>
      </c>
      <c r="K95" s="86" t="s">
        <v>35</v>
      </c>
      <c r="L95" s="86" t="s">
        <v>697</v>
      </c>
      <c r="M95" s="86"/>
      <c r="N95" s="87">
        <v>0</v>
      </c>
      <c r="O95" s="87" t="s">
        <v>698</v>
      </c>
      <c r="P95" s="87">
        <v>0</v>
      </c>
      <c r="Q95" s="1" t="s">
        <v>698</v>
      </c>
      <c r="R95" s="1"/>
      <c r="S95" s="86"/>
    </row>
    <row r="96" spans="1:20" ht="14.25" customHeight="1" x14ac:dyDescent="0.2">
      <c r="A96" s="1" t="s">
        <v>110</v>
      </c>
      <c r="B96" s="1" t="s">
        <v>694</v>
      </c>
      <c r="C96" s="1" t="s">
        <v>704</v>
      </c>
      <c r="D96" s="1">
        <v>10</v>
      </c>
      <c r="E96" s="1" t="s">
        <v>111</v>
      </c>
      <c r="F96" s="1" t="s">
        <v>702</v>
      </c>
      <c r="G96" s="324">
        <v>516398</v>
      </c>
      <c r="H96" s="85">
        <v>44682</v>
      </c>
      <c r="I96" s="85">
        <v>45716</v>
      </c>
      <c r="J96" s="86" t="s">
        <v>759</v>
      </c>
      <c r="K96" s="86" t="s">
        <v>35</v>
      </c>
      <c r="L96" s="86" t="s">
        <v>697</v>
      </c>
      <c r="M96" s="86"/>
      <c r="N96" s="87">
        <v>141052</v>
      </c>
      <c r="O96" s="87" t="s">
        <v>698</v>
      </c>
      <c r="P96" s="87">
        <v>23575</v>
      </c>
      <c r="Q96" s="1" t="s">
        <v>698</v>
      </c>
      <c r="R96" s="1">
        <v>100</v>
      </c>
      <c r="S96" s="86" t="s">
        <v>760</v>
      </c>
    </row>
    <row r="97" spans="1:19" ht="14.25" customHeight="1" x14ac:dyDescent="0.2">
      <c r="A97" s="1" t="s">
        <v>112</v>
      </c>
      <c r="B97" s="1" t="s">
        <v>694</v>
      </c>
      <c r="C97" s="1" t="s">
        <v>704</v>
      </c>
      <c r="D97" s="1">
        <v>10</v>
      </c>
      <c r="E97" s="1" t="s">
        <v>113</v>
      </c>
      <c r="F97" s="1" t="s">
        <v>500</v>
      </c>
      <c r="G97" s="324">
        <v>98135</v>
      </c>
      <c r="H97" s="85">
        <v>44743</v>
      </c>
      <c r="I97" s="85">
        <v>45473</v>
      </c>
      <c r="J97" s="86" t="s">
        <v>39</v>
      </c>
      <c r="K97" s="86" t="s">
        <v>39</v>
      </c>
      <c r="L97" s="86" t="s">
        <v>760</v>
      </c>
      <c r="M97" s="293" t="s">
        <v>447</v>
      </c>
      <c r="N97" s="87">
        <v>80369</v>
      </c>
      <c r="O97" s="87">
        <v>155000</v>
      </c>
      <c r="P97" s="87">
        <v>56000</v>
      </c>
      <c r="Q97" s="1">
        <v>0</v>
      </c>
      <c r="R97" s="1"/>
      <c r="S97" s="86"/>
    </row>
    <row r="98" spans="1:19" ht="14.25" customHeight="1" x14ac:dyDescent="0.2">
      <c r="A98" s="1" t="s">
        <v>114</v>
      </c>
      <c r="B98" s="1" t="s">
        <v>694</v>
      </c>
      <c r="C98" s="1" t="s">
        <v>704</v>
      </c>
      <c r="D98" s="1">
        <v>10</v>
      </c>
      <c r="E98" s="1" t="s">
        <v>115</v>
      </c>
      <c r="F98" s="1" t="s">
        <v>500</v>
      </c>
      <c r="G98" s="324">
        <v>370126</v>
      </c>
      <c r="H98" s="85">
        <v>44713</v>
      </c>
      <c r="I98" s="85">
        <v>45747</v>
      </c>
      <c r="J98" s="86" t="s">
        <v>759</v>
      </c>
      <c r="K98" s="86" t="s">
        <v>35</v>
      </c>
      <c r="L98" s="86" t="s">
        <v>697</v>
      </c>
      <c r="M98" s="86"/>
      <c r="N98" s="87">
        <v>0</v>
      </c>
      <c r="O98" s="87" t="s">
        <v>698</v>
      </c>
      <c r="P98" s="87">
        <v>0</v>
      </c>
      <c r="Q98" s="1" t="s">
        <v>698</v>
      </c>
      <c r="R98" s="1">
        <v>50</v>
      </c>
      <c r="S98" s="86" t="s">
        <v>760</v>
      </c>
    </row>
    <row r="99" spans="1:19" ht="14.25" customHeight="1" x14ac:dyDescent="0.2">
      <c r="A99" s="1" t="s">
        <v>116</v>
      </c>
      <c r="B99" s="1" t="s">
        <v>694</v>
      </c>
      <c r="C99" s="1" t="s">
        <v>704</v>
      </c>
      <c r="D99" s="1">
        <v>10</v>
      </c>
      <c r="E99" s="1" t="s">
        <v>117</v>
      </c>
      <c r="F99" s="1" t="s">
        <v>700</v>
      </c>
      <c r="G99" s="324">
        <v>266119</v>
      </c>
      <c r="H99" s="85">
        <v>44682</v>
      </c>
      <c r="I99" s="85">
        <v>45382</v>
      </c>
      <c r="J99" s="86" t="s">
        <v>39</v>
      </c>
      <c r="K99" s="86" t="s">
        <v>39</v>
      </c>
      <c r="L99" s="86" t="s">
        <v>697</v>
      </c>
      <c r="M99" s="293" t="s">
        <v>697</v>
      </c>
      <c r="N99" s="87">
        <v>72947</v>
      </c>
      <c r="O99" s="87" t="s">
        <v>698</v>
      </c>
      <c r="P99" s="87">
        <v>20000</v>
      </c>
      <c r="Q99" s="1" t="s">
        <v>698</v>
      </c>
      <c r="R99" s="1"/>
      <c r="S99" s="86"/>
    </row>
    <row r="100" spans="1:19" ht="14.25" customHeight="1" x14ac:dyDescent="0.2">
      <c r="A100" s="1" t="s">
        <v>118</v>
      </c>
      <c r="B100" s="1" t="s">
        <v>694</v>
      </c>
      <c r="C100" s="1" t="s">
        <v>704</v>
      </c>
      <c r="D100" s="1">
        <v>10</v>
      </c>
      <c r="E100" s="1" t="s">
        <v>119</v>
      </c>
      <c r="F100" s="1" t="s">
        <v>754</v>
      </c>
      <c r="G100" s="324">
        <v>175195</v>
      </c>
      <c r="H100" s="85">
        <v>44682</v>
      </c>
      <c r="I100" s="85">
        <v>45382</v>
      </c>
      <c r="J100" s="86" t="s">
        <v>39</v>
      </c>
      <c r="K100" s="86" t="s">
        <v>39</v>
      </c>
      <c r="L100" s="86" t="s">
        <v>697</v>
      </c>
      <c r="M100" s="293" t="s">
        <v>778</v>
      </c>
      <c r="N100" s="87">
        <v>0</v>
      </c>
      <c r="O100" s="87" t="s">
        <v>698</v>
      </c>
      <c r="P100" s="87">
        <v>0</v>
      </c>
      <c r="Q100" s="1" t="s">
        <v>698</v>
      </c>
      <c r="R100" s="1"/>
      <c r="S100" s="86"/>
    </row>
    <row r="101" spans="1:19" ht="14.25" customHeight="1" x14ac:dyDescent="0.2">
      <c r="A101" s="1" t="s">
        <v>120</v>
      </c>
      <c r="B101" s="1" t="s">
        <v>694</v>
      </c>
      <c r="C101" s="1" t="s">
        <v>704</v>
      </c>
      <c r="D101" s="1">
        <v>10</v>
      </c>
      <c r="E101" s="1" t="s">
        <v>121</v>
      </c>
      <c r="F101" s="1" t="s">
        <v>702</v>
      </c>
      <c r="G101" s="324">
        <v>548482</v>
      </c>
      <c r="H101" s="85">
        <v>44743</v>
      </c>
      <c r="I101" s="85">
        <v>45747</v>
      </c>
      <c r="J101" s="86" t="s">
        <v>759</v>
      </c>
      <c r="K101" s="86" t="s">
        <v>35</v>
      </c>
      <c r="L101" s="86" t="s">
        <v>697</v>
      </c>
      <c r="M101" s="86"/>
      <c r="N101" s="87">
        <v>0</v>
      </c>
      <c r="O101" s="87" t="s">
        <v>698</v>
      </c>
      <c r="P101" s="87">
        <v>0</v>
      </c>
      <c r="Q101" s="1" t="s">
        <v>698</v>
      </c>
      <c r="R101" s="1">
        <v>100</v>
      </c>
      <c r="S101" s="86" t="s">
        <v>760</v>
      </c>
    </row>
    <row r="102" spans="1:19" ht="14.25" customHeight="1" x14ac:dyDescent="0.2">
      <c r="A102" s="1" t="s">
        <v>122</v>
      </c>
      <c r="B102" s="1" t="s">
        <v>694</v>
      </c>
      <c r="C102" s="1" t="s">
        <v>695</v>
      </c>
      <c r="D102" s="1">
        <v>11</v>
      </c>
      <c r="E102" s="1" t="s">
        <v>123</v>
      </c>
      <c r="F102" s="1" t="s">
        <v>628</v>
      </c>
      <c r="G102" s="324">
        <v>15756</v>
      </c>
      <c r="H102" s="85">
        <v>45019</v>
      </c>
      <c r="I102" s="85">
        <v>45366</v>
      </c>
      <c r="J102" s="86" t="s">
        <v>39</v>
      </c>
      <c r="K102" s="86" t="s">
        <v>39</v>
      </c>
      <c r="L102" s="86" t="s">
        <v>697</v>
      </c>
      <c r="M102" s="294" t="s">
        <v>760</v>
      </c>
      <c r="N102" s="87" t="s">
        <v>698</v>
      </c>
      <c r="O102" s="87" t="s">
        <v>698</v>
      </c>
      <c r="P102" s="87" t="s">
        <v>698</v>
      </c>
      <c r="Q102" s="87" t="s">
        <v>698</v>
      </c>
      <c r="S102" s="86"/>
    </row>
    <row r="103" spans="1:19" ht="14.25" customHeight="1" x14ac:dyDescent="0.2">
      <c r="A103" s="1" t="s">
        <v>124</v>
      </c>
      <c r="B103" s="1" t="s">
        <v>694</v>
      </c>
      <c r="C103" s="1" t="s">
        <v>695</v>
      </c>
      <c r="D103" s="1">
        <v>11</v>
      </c>
      <c r="E103" s="1" t="s">
        <v>125</v>
      </c>
      <c r="F103" s="1" t="s">
        <v>718</v>
      </c>
      <c r="G103" s="324">
        <v>48300</v>
      </c>
      <c r="H103" s="85">
        <v>45017</v>
      </c>
      <c r="I103" s="85">
        <v>45657</v>
      </c>
      <c r="J103" s="86" t="s">
        <v>39</v>
      </c>
      <c r="K103" s="86" t="s">
        <v>39</v>
      </c>
      <c r="L103" s="86" t="s">
        <v>697</v>
      </c>
      <c r="M103" s="293" t="s">
        <v>803</v>
      </c>
      <c r="N103" s="87" t="s">
        <v>698</v>
      </c>
      <c r="O103" s="87" t="s">
        <v>698</v>
      </c>
      <c r="P103" s="87" t="s">
        <v>698</v>
      </c>
      <c r="Q103" s="87" t="s">
        <v>698</v>
      </c>
      <c r="S103" s="86"/>
    </row>
    <row r="104" spans="1:19" ht="14.25" customHeight="1" x14ac:dyDescent="0.2">
      <c r="A104" s="1" t="s">
        <v>309</v>
      </c>
      <c r="B104" s="1" t="s">
        <v>694</v>
      </c>
      <c r="C104" s="1" t="s">
        <v>704</v>
      </c>
      <c r="D104" s="1">
        <v>10</v>
      </c>
      <c r="E104" s="1" t="s">
        <v>407</v>
      </c>
      <c r="F104" s="1" t="s">
        <v>605</v>
      </c>
      <c r="G104" s="324">
        <v>77850</v>
      </c>
      <c r="H104" s="85">
        <v>44743</v>
      </c>
      <c r="I104" s="85">
        <v>45657</v>
      </c>
      <c r="J104" s="86" t="s">
        <v>759</v>
      </c>
      <c r="K104" s="86" t="s">
        <v>35</v>
      </c>
      <c r="L104" s="86" t="s">
        <v>697</v>
      </c>
      <c r="M104" s="86"/>
      <c r="N104" s="87">
        <v>24900</v>
      </c>
      <c r="O104" s="87">
        <v>32600</v>
      </c>
      <c r="P104" s="87">
        <v>0</v>
      </c>
      <c r="Q104" s="1">
        <v>0</v>
      </c>
      <c r="R104" s="1">
        <v>66</v>
      </c>
      <c r="S104" s="86" t="s">
        <v>697</v>
      </c>
    </row>
    <row r="105" spans="1:19" ht="14.25" customHeight="1" x14ac:dyDescent="0.2">
      <c r="A105" s="1" t="s">
        <v>310</v>
      </c>
      <c r="B105" s="1" t="s">
        <v>694</v>
      </c>
      <c r="C105" s="1" t="s">
        <v>704</v>
      </c>
      <c r="D105" s="1">
        <v>10</v>
      </c>
      <c r="E105" s="1" t="s">
        <v>408</v>
      </c>
      <c r="F105" s="1" t="s">
        <v>754</v>
      </c>
      <c r="G105" s="324">
        <v>160900</v>
      </c>
      <c r="H105" s="85">
        <v>44682</v>
      </c>
      <c r="I105" s="85">
        <v>45382</v>
      </c>
      <c r="J105" s="86" t="s">
        <v>759</v>
      </c>
      <c r="K105" s="86" t="s">
        <v>35</v>
      </c>
      <c r="L105" s="86" t="s">
        <v>697</v>
      </c>
      <c r="M105" s="86"/>
      <c r="N105" s="87">
        <v>0</v>
      </c>
      <c r="O105" s="87">
        <v>0</v>
      </c>
      <c r="P105" s="87">
        <v>1000</v>
      </c>
      <c r="Q105" s="1">
        <v>0</v>
      </c>
      <c r="R105" s="1">
        <v>100</v>
      </c>
      <c r="S105" s="86" t="s">
        <v>697</v>
      </c>
    </row>
    <row r="106" spans="1:19" ht="14.25" customHeight="1" x14ac:dyDescent="0.2">
      <c r="A106" s="1" t="s">
        <v>311</v>
      </c>
      <c r="B106" s="1" t="s">
        <v>694</v>
      </c>
      <c r="C106" s="1" t="s">
        <v>704</v>
      </c>
      <c r="D106" s="1">
        <v>10</v>
      </c>
      <c r="E106" s="1" t="s">
        <v>409</v>
      </c>
      <c r="F106" s="1" t="s">
        <v>605</v>
      </c>
      <c r="G106" s="324">
        <v>285415</v>
      </c>
      <c r="H106" s="85">
        <v>44835</v>
      </c>
      <c r="I106" s="85">
        <v>45565</v>
      </c>
      <c r="J106" s="86" t="s">
        <v>759</v>
      </c>
      <c r="K106" s="86" t="s">
        <v>35</v>
      </c>
      <c r="L106" s="86" t="s">
        <v>697</v>
      </c>
      <c r="M106" s="86"/>
      <c r="N106" s="87" t="s">
        <v>804</v>
      </c>
      <c r="O106" s="87">
        <v>253269</v>
      </c>
      <c r="P106" s="87">
        <v>0</v>
      </c>
      <c r="Q106" s="1">
        <v>0</v>
      </c>
      <c r="R106" s="1">
        <v>50</v>
      </c>
      <c r="S106" s="86" t="s">
        <v>697</v>
      </c>
    </row>
    <row r="107" spans="1:19" ht="14.25" customHeight="1" x14ac:dyDescent="0.2">
      <c r="A107" s="1" t="s">
        <v>312</v>
      </c>
      <c r="B107" s="1" t="s">
        <v>694</v>
      </c>
      <c r="C107" s="1" t="s">
        <v>704</v>
      </c>
      <c r="D107" s="1">
        <v>10</v>
      </c>
      <c r="E107" s="1" t="s">
        <v>410</v>
      </c>
      <c r="F107" s="1" t="s">
        <v>628</v>
      </c>
      <c r="G107" s="324">
        <v>492904</v>
      </c>
      <c r="H107" s="85">
        <v>44682</v>
      </c>
      <c r="I107" s="85">
        <v>45747</v>
      </c>
      <c r="J107" s="86" t="s">
        <v>759</v>
      </c>
      <c r="K107" s="86" t="s">
        <v>35</v>
      </c>
      <c r="L107" s="86" t="s">
        <v>697</v>
      </c>
      <c r="M107" s="86"/>
      <c r="N107" s="87">
        <v>100000</v>
      </c>
      <c r="O107" s="87">
        <v>200000</v>
      </c>
      <c r="P107" s="87">
        <v>0</v>
      </c>
      <c r="Q107" s="1">
        <v>0</v>
      </c>
      <c r="R107" s="1">
        <v>75</v>
      </c>
      <c r="S107" s="86" t="s">
        <v>697</v>
      </c>
    </row>
    <row r="108" spans="1:19" ht="14.25" customHeight="1" x14ac:dyDescent="0.2">
      <c r="A108" s="1" t="s">
        <v>313</v>
      </c>
      <c r="B108" s="1" t="s">
        <v>694</v>
      </c>
      <c r="C108" s="1" t="s">
        <v>704</v>
      </c>
      <c r="D108" s="1">
        <v>10</v>
      </c>
      <c r="E108" s="1" t="s">
        <v>411</v>
      </c>
      <c r="F108" s="1" t="s">
        <v>628</v>
      </c>
      <c r="G108" s="324">
        <v>439897</v>
      </c>
      <c r="H108" s="85">
        <v>44682</v>
      </c>
      <c r="I108" s="85">
        <v>45747</v>
      </c>
      <c r="J108" s="86" t="s">
        <v>759</v>
      </c>
      <c r="K108" s="86" t="s">
        <v>35</v>
      </c>
      <c r="L108" s="86" t="s">
        <v>697</v>
      </c>
      <c r="M108" s="86"/>
      <c r="N108" s="87">
        <v>0</v>
      </c>
      <c r="O108" s="87">
        <v>200442</v>
      </c>
      <c r="P108" s="87">
        <v>0</v>
      </c>
      <c r="Q108" s="1">
        <v>0</v>
      </c>
      <c r="R108" s="1">
        <v>100</v>
      </c>
      <c r="S108" s="86" t="s">
        <v>697</v>
      </c>
    </row>
    <row r="109" spans="1:19" ht="14.25" customHeight="1" x14ac:dyDescent="0.2">
      <c r="A109" s="1" t="s">
        <v>126</v>
      </c>
      <c r="B109" s="1" t="s">
        <v>694</v>
      </c>
      <c r="C109" s="1" t="s">
        <v>695</v>
      </c>
      <c r="D109" s="1">
        <v>11</v>
      </c>
      <c r="E109" s="1" t="s">
        <v>127</v>
      </c>
      <c r="F109" s="1" t="s">
        <v>517</v>
      </c>
      <c r="G109" s="324">
        <v>36355</v>
      </c>
      <c r="H109" s="85">
        <v>45017</v>
      </c>
      <c r="I109" s="85">
        <v>45473</v>
      </c>
      <c r="J109" s="86" t="s">
        <v>39</v>
      </c>
      <c r="K109" s="86" t="s">
        <v>39</v>
      </c>
      <c r="L109" s="86" t="s">
        <v>697</v>
      </c>
      <c r="M109" s="293" t="s">
        <v>803</v>
      </c>
      <c r="N109" s="87" t="s">
        <v>698</v>
      </c>
      <c r="O109" s="87" t="s">
        <v>698</v>
      </c>
      <c r="P109" s="87" t="s">
        <v>698</v>
      </c>
      <c r="Q109" s="87" t="s">
        <v>698</v>
      </c>
      <c r="S109" s="86"/>
    </row>
    <row r="110" spans="1:19" ht="14.25" customHeight="1" x14ac:dyDescent="0.2">
      <c r="A110" s="1" t="s">
        <v>314</v>
      </c>
      <c r="B110" s="1" t="s">
        <v>694</v>
      </c>
      <c r="C110" s="1" t="s">
        <v>704</v>
      </c>
      <c r="D110" s="1">
        <v>10</v>
      </c>
      <c r="E110" s="1" t="s">
        <v>412</v>
      </c>
      <c r="F110" s="1" t="s">
        <v>605</v>
      </c>
      <c r="G110" s="324">
        <v>199300</v>
      </c>
      <c r="H110" s="85">
        <v>44743</v>
      </c>
      <c r="I110" s="85">
        <v>45716</v>
      </c>
      <c r="J110" s="86" t="s">
        <v>759</v>
      </c>
      <c r="K110" s="86" t="s">
        <v>35</v>
      </c>
      <c r="L110" s="86" t="s">
        <v>697</v>
      </c>
      <c r="M110" s="86"/>
      <c r="N110" s="87">
        <v>36065</v>
      </c>
      <c r="O110" s="87">
        <v>44585</v>
      </c>
      <c r="P110" s="87">
        <v>0</v>
      </c>
      <c r="Q110" s="1">
        <v>0</v>
      </c>
      <c r="R110" s="1">
        <v>33</v>
      </c>
      <c r="S110" s="86" t="s">
        <v>697</v>
      </c>
    </row>
    <row r="111" spans="1:19" ht="14.25" customHeight="1" x14ac:dyDescent="0.2">
      <c r="A111" s="1" t="s">
        <v>315</v>
      </c>
      <c r="B111" s="1" t="s">
        <v>694</v>
      </c>
      <c r="C111" s="1" t="s">
        <v>704</v>
      </c>
      <c r="D111" s="1">
        <v>10</v>
      </c>
      <c r="E111" s="1" t="s">
        <v>413</v>
      </c>
      <c r="F111" s="1" t="s">
        <v>536</v>
      </c>
      <c r="G111" s="324">
        <v>308263</v>
      </c>
      <c r="H111" s="85">
        <v>44835</v>
      </c>
      <c r="I111" s="85">
        <v>45824</v>
      </c>
      <c r="J111" s="86" t="s">
        <v>759</v>
      </c>
      <c r="K111" s="86" t="s">
        <v>35</v>
      </c>
      <c r="L111" s="86" t="s">
        <v>697</v>
      </c>
      <c r="M111" s="86"/>
      <c r="N111" s="87">
        <v>94306</v>
      </c>
      <c r="O111" s="87">
        <v>224571</v>
      </c>
      <c r="P111" s="87">
        <v>0</v>
      </c>
      <c r="Q111" s="1">
        <v>0</v>
      </c>
      <c r="R111" s="1">
        <v>25</v>
      </c>
      <c r="S111" s="86" t="s">
        <v>697</v>
      </c>
    </row>
    <row r="112" spans="1:19" ht="14.25" customHeight="1" x14ac:dyDescent="0.2">
      <c r="A112" s="1" t="s">
        <v>128</v>
      </c>
      <c r="B112" s="1" t="s">
        <v>694</v>
      </c>
      <c r="C112" s="1" t="s">
        <v>695</v>
      </c>
      <c r="D112" s="1">
        <v>11</v>
      </c>
      <c r="E112" s="1" t="s">
        <v>129</v>
      </c>
      <c r="F112" s="1" t="s">
        <v>572</v>
      </c>
      <c r="G112" s="324">
        <v>18500</v>
      </c>
      <c r="H112" s="85">
        <v>45020</v>
      </c>
      <c r="I112" s="85">
        <v>45380</v>
      </c>
      <c r="J112" s="86" t="s">
        <v>39</v>
      </c>
      <c r="K112" s="86" t="s">
        <v>39</v>
      </c>
      <c r="L112" s="86" t="s">
        <v>697</v>
      </c>
      <c r="M112" s="293" t="s">
        <v>803</v>
      </c>
      <c r="N112" s="87" t="s">
        <v>698</v>
      </c>
      <c r="O112" s="87" t="s">
        <v>698</v>
      </c>
      <c r="P112" s="87" t="s">
        <v>698</v>
      </c>
      <c r="Q112" s="87" t="s">
        <v>698</v>
      </c>
      <c r="S112" s="86"/>
    </row>
    <row r="113" spans="1:19" ht="14.25" customHeight="1" x14ac:dyDescent="0.2">
      <c r="A113" s="1" t="s">
        <v>112</v>
      </c>
      <c r="B113" s="1" t="s">
        <v>694</v>
      </c>
      <c r="C113" s="1" t="s">
        <v>704</v>
      </c>
      <c r="D113" s="1">
        <v>10</v>
      </c>
      <c r="E113" s="1" t="s">
        <v>113</v>
      </c>
      <c r="F113" s="1" t="s">
        <v>500</v>
      </c>
      <c r="G113" s="324">
        <v>98135</v>
      </c>
      <c r="H113" s="85">
        <v>44743</v>
      </c>
      <c r="I113" s="85">
        <v>45473</v>
      </c>
      <c r="J113" s="86" t="s">
        <v>759</v>
      </c>
      <c r="K113" s="86" t="s">
        <v>35</v>
      </c>
      <c r="L113" s="86" t="s">
        <v>697</v>
      </c>
      <c r="M113" s="86"/>
      <c r="N113" s="87">
        <v>80369</v>
      </c>
      <c r="O113" s="87">
        <v>155000</v>
      </c>
      <c r="P113" s="87">
        <v>56000</v>
      </c>
      <c r="Q113" s="1">
        <v>0</v>
      </c>
      <c r="R113" s="1">
        <v>40</v>
      </c>
      <c r="S113" s="86" t="s">
        <v>697</v>
      </c>
    </row>
    <row r="114" spans="1:19" ht="14.25" customHeight="1" x14ac:dyDescent="0.2">
      <c r="A114" s="1" t="s">
        <v>130</v>
      </c>
      <c r="B114" s="1" t="s">
        <v>694</v>
      </c>
      <c r="C114" s="1" t="s">
        <v>695</v>
      </c>
      <c r="D114" s="1">
        <v>11</v>
      </c>
      <c r="E114" s="1" t="s">
        <v>131</v>
      </c>
      <c r="F114" s="1" t="s">
        <v>754</v>
      </c>
      <c r="G114" s="324">
        <v>25574</v>
      </c>
      <c r="H114" s="85">
        <v>45041</v>
      </c>
      <c r="I114" s="85">
        <v>45565</v>
      </c>
      <c r="J114" s="86" t="s">
        <v>39</v>
      </c>
      <c r="K114" s="86" t="s">
        <v>39</v>
      </c>
      <c r="L114" s="86" t="s">
        <v>697</v>
      </c>
      <c r="M114" s="293" t="s">
        <v>767</v>
      </c>
      <c r="N114" s="87" t="s">
        <v>698</v>
      </c>
      <c r="O114" s="87" t="s">
        <v>698</v>
      </c>
      <c r="P114" s="87" t="s">
        <v>698</v>
      </c>
      <c r="Q114" s="87" t="s">
        <v>698</v>
      </c>
      <c r="S114" s="86"/>
    </row>
    <row r="115" spans="1:19" ht="14.25" customHeight="1" x14ac:dyDescent="0.2">
      <c r="A115" s="1" t="s">
        <v>132</v>
      </c>
      <c r="B115" s="1" t="s">
        <v>694</v>
      </c>
      <c r="C115" s="1" t="s">
        <v>704</v>
      </c>
      <c r="D115" s="1">
        <v>11</v>
      </c>
      <c r="E115" s="1" t="s">
        <v>133</v>
      </c>
      <c r="F115" s="1" t="s">
        <v>724</v>
      </c>
      <c r="G115" s="324">
        <v>489579</v>
      </c>
      <c r="H115" s="85">
        <v>45261</v>
      </c>
      <c r="I115" s="85">
        <v>46356</v>
      </c>
      <c r="J115" s="86" t="s">
        <v>759</v>
      </c>
      <c r="K115" s="86" t="s">
        <v>34</v>
      </c>
      <c r="L115" s="86" t="s">
        <v>697</v>
      </c>
      <c r="M115" s="86"/>
      <c r="N115" s="87">
        <v>0</v>
      </c>
      <c r="O115" s="87" t="s">
        <v>698</v>
      </c>
      <c r="P115" s="87">
        <v>0</v>
      </c>
      <c r="Q115" s="1" t="s">
        <v>698</v>
      </c>
      <c r="R115" s="1">
        <v>36</v>
      </c>
      <c r="S115" s="86" t="s">
        <v>760</v>
      </c>
    </row>
    <row r="116" spans="1:19" ht="14.25" customHeight="1" x14ac:dyDescent="0.2">
      <c r="A116" s="1" t="s">
        <v>316</v>
      </c>
      <c r="B116" s="1" t="s">
        <v>694</v>
      </c>
      <c r="C116" s="1" t="s">
        <v>704</v>
      </c>
      <c r="D116" s="1">
        <v>10</v>
      </c>
      <c r="E116" s="1" t="s">
        <v>414</v>
      </c>
      <c r="F116" s="1" t="s">
        <v>805</v>
      </c>
      <c r="G116" s="324">
        <v>397756</v>
      </c>
      <c r="H116" s="85">
        <v>44682</v>
      </c>
      <c r="I116" s="85">
        <v>45746</v>
      </c>
      <c r="J116" s="86" t="s">
        <v>759</v>
      </c>
      <c r="K116" s="86" t="s">
        <v>35</v>
      </c>
      <c r="L116" s="86" t="s">
        <v>697</v>
      </c>
      <c r="M116" s="86"/>
      <c r="N116" s="87">
        <v>318392</v>
      </c>
      <c r="O116" s="87">
        <v>0</v>
      </c>
      <c r="P116" s="87">
        <v>200000</v>
      </c>
      <c r="Q116" s="1">
        <v>0</v>
      </c>
      <c r="R116" s="1">
        <v>80</v>
      </c>
      <c r="S116" s="86" t="s">
        <v>697</v>
      </c>
    </row>
    <row r="117" spans="1:19" ht="14.25" customHeight="1" x14ac:dyDescent="0.2">
      <c r="A117" s="1" t="s">
        <v>317</v>
      </c>
      <c r="B117" s="1" t="s">
        <v>694</v>
      </c>
      <c r="C117" s="1" t="s">
        <v>704</v>
      </c>
      <c r="D117" s="1">
        <v>10</v>
      </c>
      <c r="E117" s="1" t="s">
        <v>415</v>
      </c>
      <c r="F117" s="1" t="s">
        <v>806</v>
      </c>
      <c r="G117" s="324">
        <v>299249</v>
      </c>
      <c r="H117" s="85">
        <v>44743</v>
      </c>
      <c r="I117" s="85">
        <v>45747</v>
      </c>
      <c r="J117" s="86" t="s">
        <v>759</v>
      </c>
      <c r="K117" s="86" t="s">
        <v>35</v>
      </c>
      <c r="L117" s="86" t="s">
        <v>697</v>
      </c>
      <c r="M117" s="86"/>
      <c r="N117" s="87">
        <v>0</v>
      </c>
      <c r="O117" s="87">
        <v>0</v>
      </c>
      <c r="P117" s="87">
        <v>0</v>
      </c>
      <c r="Q117" s="1">
        <v>0</v>
      </c>
      <c r="R117" s="1"/>
      <c r="S117" s="86" t="s">
        <v>697</v>
      </c>
    </row>
    <row r="118" spans="1:19" ht="14.25" customHeight="1" x14ac:dyDescent="0.2">
      <c r="A118" s="1" t="s">
        <v>318</v>
      </c>
      <c r="B118" s="1" t="s">
        <v>694</v>
      </c>
      <c r="C118" s="1" t="s">
        <v>704</v>
      </c>
      <c r="D118" s="1">
        <v>10</v>
      </c>
      <c r="E118" s="1" t="s">
        <v>416</v>
      </c>
      <c r="F118" s="1" t="s">
        <v>548</v>
      </c>
      <c r="G118" s="324">
        <v>499234</v>
      </c>
      <c r="H118" s="85">
        <v>44682</v>
      </c>
      <c r="I118" s="85">
        <v>45747</v>
      </c>
      <c r="J118" s="86" t="s">
        <v>759</v>
      </c>
      <c r="K118" s="86" t="s">
        <v>35</v>
      </c>
      <c r="L118" s="86" t="s">
        <v>697</v>
      </c>
      <c r="M118" s="86"/>
      <c r="N118" s="87">
        <v>156852</v>
      </c>
      <c r="O118" s="87">
        <v>189699</v>
      </c>
      <c r="P118" s="87">
        <v>6412</v>
      </c>
      <c r="Q118" s="1">
        <v>0</v>
      </c>
      <c r="R118" s="1">
        <v>66</v>
      </c>
      <c r="S118" s="86" t="s">
        <v>697</v>
      </c>
    </row>
    <row r="119" spans="1:19" ht="14.25" customHeight="1" x14ac:dyDescent="0.2">
      <c r="A119" s="1" t="s">
        <v>319</v>
      </c>
      <c r="B119" s="1" t="s">
        <v>694</v>
      </c>
      <c r="C119" s="1" t="s">
        <v>704</v>
      </c>
      <c r="D119" s="1">
        <v>10</v>
      </c>
      <c r="E119" s="1" t="s">
        <v>417</v>
      </c>
      <c r="F119" s="1" t="s">
        <v>807</v>
      </c>
      <c r="G119" s="324">
        <v>99723</v>
      </c>
      <c r="H119" s="85">
        <v>44713</v>
      </c>
      <c r="I119" s="85">
        <v>45443</v>
      </c>
      <c r="J119" s="86" t="s">
        <v>759</v>
      </c>
      <c r="K119" s="86" t="s">
        <v>35</v>
      </c>
      <c r="L119" s="86" t="s">
        <v>697</v>
      </c>
      <c r="M119" s="86"/>
      <c r="N119" s="87">
        <v>100000</v>
      </c>
      <c r="O119" s="87">
        <v>100000</v>
      </c>
      <c r="P119" s="87">
        <v>10800</v>
      </c>
      <c r="Q119" s="1">
        <v>2200</v>
      </c>
      <c r="R119" s="1">
        <v>50</v>
      </c>
      <c r="S119" s="86" t="s">
        <v>697</v>
      </c>
    </row>
    <row r="120" spans="1:19" ht="14.25" customHeight="1" x14ac:dyDescent="0.2">
      <c r="A120" s="1" t="s">
        <v>320</v>
      </c>
      <c r="B120" s="1" t="s">
        <v>694</v>
      </c>
      <c r="C120" s="1" t="s">
        <v>704</v>
      </c>
      <c r="D120" s="1">
        <v>10</v>
      </c>
      <c r="E120" s="1" t="s">
        <v>418</v>
      </c>
      <c r="F120" s="1" t="s">
        <v>807</v>
      </c>
      <c r="G120" s="324">
        <v>249999</v>
      </c>
      <c r="H120" s="85">
        <v>44713</v>
      </c>
      <c r="I120" s="85">
        <v>45747</v>
      </c>
      <c r="J120" s="86" t="s">
        <v>759</v>
      </c>
      <c r="K120" s="86" t="s">
        <v>35</v>
      </c>
      <c r="L120" s="86" t="s">
        <v>697</v>
      </c>
      <c r="M120" s="86"/>
      <c r="N120" s="87">
        <v>0</v>
      </c>
      <c r="O120" s="87">
        <v>0</v>
      </c>
      <c r="P120" s="87">
        <v>0</v>
      </c>
      <c r="Q120" s="1">
        <v>0</v>
      </c>
      <c r="R120" s="1">
        <v>100</v>
      </c>
      <c r="S120" s="86" t="s">
        <v>697</v>
      </c>
    </row>
    <row r="121" spans="1:19" ht="14.25" customHeight="1" x14ac:dyDescent="0.2">
      <c r="A121" s="1" t="s">
        <v>321</v>
      </c>
      <c r="B121" s="1" t="s">
        <v>694</v>
      </c>
      <c r="C121" s="1" t="s">
        <v>704</v>
      </c>
      <c r="D121" s="1">
        <v>10</v>
      </c>
      <c r="E121" s="1" t="s">
        <v>419</v>
      </c>
      <c r="F121" s="1" t="s">
        <v>724</v>
      </c>
      <c r="G121" s="324">
        <v>336538</v>
      </c>
      <c r="H121" s="85">
        <v>44835</v>
      </c>
      <c r="I121" s="85">
        <v>45900</v>
      </c>
      <c r="J121" s="86" t="s">
        <v>759</v>
      </c>
      <c r="K121" s="86" t="s">
        <v>35</v>
      </c>
      <c r="L121" s="86" t="s">
        <v>697</v>
      </c>
      <c r="M121" s="86"/>
      <c r="N121" s="87">
        <v>79346.289999999994</v>
      </c>
      <c r="O121" s="87">
        <v>219692</v>
      </c>
      <c r="P121" s="87">
        <v>0</v>
      </c>
      <c r="Q121" s="1">
        <v>0</v>
      </c>
      <c r="R121" s="1">
        <v>66</v>
      </c>
      <c r="S121" s="86" t="s">
        <v>697</v>
      </c>
    </row>
    <row r="122" spans="1:19" ht="14.25" customHeight="1" x14ac:dyDescent="0.2">
      <c r="A122" s="1" t="s">
        <v>134</v>
      </c>
      <c r="B122" s="1" t="s">
        <v>694</v>
      </c>
      <c r="C122" s="1" t="s">
        <v>704</v>
      </c>
      <c r="D122" s="1">
        <v>11</v>
      </c>
      <c r="E122" s="1" t="s">
        <v>135</v>
      </c>
      <c r="F122" s="1" t="s">
        <v>724</v>
      </c>
      <c r="G122" s="324">
        <v>346812</v>
      </c>
      <c r="H122" s="85">
        <v>45017</v>
      </c>
      <c r="I122" s="85">
        <v>45930</v>
      </c>
      <c r="J122" s="86" t="s">
        <v>759</v>
      </c>
      <c r="K122" s="86" t="s">
        <v>34</v>
      </c>
      <c r="L122" s="86" t="s">
        <v>697</v>
      </c>
      <c r="M122" s="86"/>
      <c r="N122" s="87">
        <v>0</v>
      </c>
      <c r="O122" s="87" t="s">
        <v>698</v>
      </c>
      <c r="P122" s="87">
        <v>0</v>
      </c>
      <c r="Q122" s="1" t="s">
        <v>698</v>
      </c>
      <c r="R122" s="1"/>
      <c r="S122" s="86"/>
    </row>
    <row r="123" spans="1:19" ht="14.25" customHeight="1" x14ac:dyDescent="0.2">
      <c r="A123" s="1" t="s">
        <v>136</v>
      </c>
      <c r="B123" s="1" t="s">
        <v>694</v>
      </c>
      <c r="C123" s="1" t="s">
        <v>695</v>
      </c>
      <c r="D123" s="1">
        <v>12</v>
      </c>
      <c r="E123" s="1" t="s">
        <v>137</v>
      </c>
      <c r="F123" s="1" t="s">
        <v>702</v>
      </c>
      <c r="G123" s="324">
        <v>49300</v>
      </c>
      <c r="H123" s="85" t="s">
        <v>758</v>
      </c>
      <c r="I123" s="85">
        <v>45657</v>
      </c>
      <c r="J123" s="86" t="s">
        <v>39</v>
      </c>
      <c r="K123" s="86" t="s">
        <v>39</v>
      </c>
      <c r="L123" s="86" t="s">
        <v>697</v>
      </c>
      <c r="M123" s="293" t="s">
        <v>767</v>
      </c>
      <c r="N123" s="87" t="s">
        <v>698</v>
      </c>
      <c r="O123" s="87" t="s">
        <v>698</v>
      </c>
      <c r="P123" s="87" t="s">
        <v>698</v>
      </c>
      <c r="Q123" s="87" t="s">
        <v>698</v>
      </c>
      <c r="S123" s="86"/>
    </row>
    <row r="124" spans="1:19" ht="14.25" customHeight="1" x14ac:dyDescent="0.2">
      <c r="A124" s="1" t="s">
        <v>322</v>
      </c>
      <c r="B124" s="1" t="s">
        <v>694</v>
      </c>
      <c r="C124" s="1" t="s">
        <v>704</v>
      </c>
      <c r="D124" s="1">
        <v>11</v>
      </c>
      <c r="E124" s="1" t="s">
        <v>420</v>
      </c>
      <c r="F124" s="1" t="s">
        <v>500</v>
      </c>
      <c r="G124" s="324">
        <v>303425</v>
      </c>
      <c r="H124" s="85">
        <v>45017</v>
      </c>
      <c r="I124" s="85">
        <v>46112</v>
      </c>
      <c r="J124" s="86" t="s">
        <v>759</v>
      </c>
      <c r="K124" s="86" t="s">
        <v>34</v>
      </c>
      <c r="L124" s="86" t="s">
        <v>697</v>
      </c>
      <c r="M124" s="86"/>
      <c r="N124" s="87">
        <v>12800</v>
      </c>
      <c r="O124" s="87">
        <v>0</v>
      </c>
      <c r="P124" s="87">
        <v>20958</v>
      </c>
      <c r="Q124" s="1">
        <v>0</v>
      </c>
      <c r="R124" s="1"/>
      <c r="S124" s="86" t="s">
        <v>697</v>
      </c>
    </row>
    <row r="125" spans="1:19" ht="14.25" customHeight="1" x14ac:dyDescent="0.2">
      <c r="A125" s="1" t="s">
        <v>323</v>
      </c>
      <c r="B125" s="1" t="s">
        <v>694</v>
      </c>
      <c r="C125" s="1" t="s">
        <v>704</v>
      </c>
      <c r="D125" s="1">
        <v>11</v>
      </c>
      <c r="E125" s="1" t="s">
        <v>421</v>
      </c>
      <c r="F125" s="1" t="s">
        <v>754</v>
      </c>
      <c r="G125" s="324">
        <v>396655</v>
      </c>
      <c r="H125" s="85">
        <v>45017</v>
      </c>
      <c r="I125" s="85">
        <v>46112</v>
      </c>
      <c r="J125" s="86" t="s">
        <v>759</v>
      </c>
      <c r="K125" s="86" t="s">
        <v>34</v>
      </c>
      <c r="L125" s="86" t="s">
        <v>697</v>
      </c>
      <c r="M125" s="86"/>
      <c r="N125" s="87">
        <v>13000</v>
      </c>
      <c r="O125" s="87">
        <v>39000</v>
      </c>
      <c r="P125" s="87">
        <v>64638</v>
      </c>
      <c r="Q125" s="1">
        <v>145132</v>
      </c>
      <c r="R125" s="1">
        <v>100</v>
      </c>
      <c r="S125" s="86" t="s">
        <v>697</v>
      </c>
    </row>
    <row r="126" spans="1:19" ht="14.25" customHeight="1" x14ac:dyDescent="0.2">
      <c r="A126" s="1" t="s">
        <v>324</v>
      </c>
      <c r="B126" s="1" t="s">
        <v>694</v>
      </c>
      <c r="C126" s="1" t="s">
        <v>704</v>
      </c>
      <c r="D126" s="1">
        <v>11</v>
      </c>
      <c r="E126" s="1" t="s">
        <v>422</v>
      </c>
      <c r="F126" s="1" t="s">
        <v>628</v>
      </c>
      <c r="G126" s="324">
        <v>396989</v>
      </c>
      <c r="H126" s="85">
        <v>45017</v>
      </c>
      <c r="I126" s="85">
        <v>46112</v>
      </c>
      <c r="J126" s="86" t="s">
        <v>759</v>
      </c>
      <c r="K126" s="86" t="s">
        <v>34</v>
      </c>
      <c r="L126" s="86" t="s">
        <v>697</v>
      </c>
      <c r="M126" s="86"/>
      <c r="N126" s="87">
        <v>185095.58</v>
      </c>
      <c r="O126" s="87">
        <v>608730</v>
      </c>
      <c r="P126" s="87">
        <v>0</v>
      </c>
      <c r="Q126" s="1">
        <v>0</v>
      </c>
      <c r="R126" s="1">
        <v>100</v>
      </c>
      <c r="S126" s="86" t="s">
        <v>697</v>
      </c>
    </row>
    <row r="127" spans="1:19" ht="14.25" customHeight="1" x14ac:dyDescent="0.2">
      <c r="A127" s="1" t="s">
        <v>325</v>
      </c>
      <c r="B127" s="1" t="s">
        <v>694</v>
      </c>
      <c r="C127" s="1" t="s">
        <v>704</v>
      </c>
      <c r="D127" s="1">
        <v>11</v>
      </c>
      <c r="E127" s="1" t="s">
        <v>423</v>
      </c>
      <c r="F127" s="1" t="s">
        <v>808</v>
      </c>
      <c r="G127" s="324">
        <v>630031</v>
      </c>
      <c r="H127" s="85">
        <v>45017</v>
      </c>
      <c r="I127" s="85">
        <v>46112</v>
      </c>
      <c r="J127" s="86" t="s">
        <v>759</v>
      </c>
      <c r="K127" s="86" t="s">
        <v>34</v>
      </c>
      <c r="L127" s="86" t="s">
        <v>697</v>
      </c>
      <c r="M127" s="86"/>
      <c r="N127" s="87">
        <v>0</v>
      </c>
      <c r="O127" s="87">
        <v>0</v>
      </c>
      <c r="P127" s="87">
        <v>0</v>
      </c>
      <c r="Q127" s="1">
        <v>0</v>
      </c>
      <c r="R127" s="1">
        <v>33</v>
      </c>
      <c r="S127" s="86" t="s">
        <v>697</v>
      </c>
    </row>
    <row r="128" spans="1:19" ht="14.25" customHeight="1" x14ac:dyDescent="0.2">
      <c r="A128" s="1" t="s">
        <v>326</v>
      </c>
      <c r="B128" s="1" t="s">
        <v>694</v>
      </c>
      <c r="C128" s="1" t="s">
        <v>704</v>
      </c>
      <c r="D128" s="1">
        <v>11</v>
      </c>
      <c r="E128" s="1" t="s">
        <v>424</v>
      </c>
      <c r="F128" s="1" t="s">
        <v>724</v>
      </c>
      <c r="G128" s="324">
        <v>440264</v>
      </c>
      <c r="H128" s="85">
        <v>45017</v>
      </c>
      <c r="I128" s="85">
        <v>45747</v>
      </c>
      <c r="J128" s="86" t="s">
        <v>759</v>
      </c>
      <c r="K128" s="86" t="s">
        <v>34</v>
      </c>
      <c r="L128" s="86" t="s">
        <v>697</v>
      </c>
      <c r="M128" s="86"/>
      <c r="N128" s="87" t="s">
        <v>809</v>
      </c>
      <c r="O128" s="87">
        <v>33608</v>
      </c>
      <c r="P128" s="87">
        <v>0</v>
      </c>
      <c r="Q128" s="1">
        <v>0</v>
      </c>
      <c r="R128" s="1">
        <v>100</v>
      </c>
      <c r="S128" s="86" t="s">
        <v>697</v>
      </c>
    </row>
    <row r="129" spans="1:19" ht="14.25" customHeight="1" x14ac:dyDescent="0.2">
      <c r="A129" s="1" t="s">
        <v>138</v>
      </c>
      <c r="C129" s="1" t="s">
        <v>695</v>
      </c>
      <c r="D129" s="1">
        <v>12</v>
      </c>
      <c r="E129" s="1" t="s">
        <v>139</v>
      </c>
      <c r="F129" s="1" t="s">
        <v>598</v>
      </c>
      <c r="G129" s="324">
        <v>49576</v>
      </c>
      <c r="H129" s="85" t="s">
        <v>758</v>
      </c>
      <c r="I129" s="85" t="s">
        <v>810</v>
      </c>
      <c r="J129" s="86" t="s">
        <v>39</v>
      </c>
      <c r="K129" s="86" t="s">
        <v>39</v>
      </c>
      <c r="L129" s="86" t="s">
        <v>697</v>
      </c>
      <c r="M129" s="294" t="s">
        <v>697</v>
      </c>
      <c r="N129" s="87" t="s">
        <v>698</v>
      </c>
      <c r="O129" s="87" t="s">
        <v>698</v>
      </c>
      <c r="P129" s="87" t="s">
        <v>698</v>
      </c>
      <c r="Q129" s="87" t="s">
        <v>698</v>
      </c>
      <c r="S129" s="86"/>
    </row>
    <row r="130" spans="1:19" ht="14.25" customHeight="1" x14ac:dyDescent="0.2">
      <c r="A130" s="1" t="s">
        <v>140</v>
      </c>
      <c r="B130" s="1" t="s">
        <v>694</v>
      </c>
      <c r="C130" s="1" t="s">
        <v>695</v>
      </c>
      <c r="D130" s="1">
        <v>12</v>
      </c>
      <c r="E130" s="1" t="s">
        <v>141</v>
      </c>
      <c r="F130" s="1" t="s">
        <v>628</v>
      </c>
      <c r="G130" s="324">
        <v>35408.33</v>
      </c>
      <c r="H130" s="85" t="s">
        <v>758</v>
      </c>
      <c r="I130" s="85">
        <v>45473</v>
      </c>
      <c r="J130" s="86" t="s">
        <v>39</v>
      </c>
      <c r="K130" s="86" t="s">
        <v>39</v>
      </c>
      <c r="L130" s="86" t="s">
        <v>697</v>
      </c>
      <c r="M130" s="293" t="s">
        <v>803</v>
      </c>
      <c r="N130" s="87" t="s">
        <v>698</v>
      </c>
      <c r="O130" s="87" t="s">
        <v>698</v>
      </c>
      <c r="P130" s="87" t="s">
        <v>698</v>
      </c>
      <c r="Q130" s="87" t="s">
        <v>698</v>
      </c>
      <c r="S130" s="86"/>
    </row>
    <row r="131" spans="1:19" ht="14.25" customHeight="1" x14ac:dyDescent="0.2">
      <c r="A131" s="1" t="s">
        <v>327</v>
      </c>
      <c r="B131" s="1" t="s">
        <v>694</v>
      </c>
      <c r="C131" s="1" t="s">
        <v>704</v>
      </c>
      <c r="D131" s="1">
        <v>11</v>
      </c>
      <c r="E131" s="1" t="s">
        <v>425</v>
      </c>
      <c r="F131" s="1" t="s">
        <v>724</v>
      </c>
      <c r="G131" s="324">
        <v>241145</v>
      </c>
      <c r="H131" s="85">
        <v>45078</v>
      </c>
      <c r="I131" s="85">
        <v>45808</v>
      </c>
      <c r="J131" s="86" t="s">
        <v>759</v>
      </c>
      <c r="K131" s="86" t="s">
        <v>34</v>
      </c>
      <c r="L131" s="86" t="s">
        <v>697</v>
      </c>
      <c r="M131" s="86"/>
      <c r="N131" s="87">
        <v>124771</v>
      </c>
      <c r="O131" s="87">
        <v>124771</v>
      </c>
      <c r="P131" s="87">
        <v>0</v>
      </c>
      <c r="Q131" s="1">
        <v>0</v>
      </c>
      <c r="R131" s="1">
        <v>46</v>
      </c>
      <c r="S131" s="86" t="s">
        <v>697</v>
      </c>
    </row>
    <row r="132" spans="1:19" ht="14.25" customHeight="1" x14ac:dyDescent="0.2">
      <c r="A132" s="1" t="s">
        <v>328</v>
      </c>
      <c r="B132" s="1" t="s">
        <v>694</v>
      </c>
      <c r="C132" s="1" t="s">
        <v>704</v>
      </c>
      <c r="D132" s="1">
        <v>11</v>
      </c>
      <c r="E132" s="1" t="s">
        <v>426</v>
      </c>
      <c r="F132" s="1" t="s">
        <v>517</v>
      </c>
      <c r="G132" s="324">
        <v>336065</v>
      </c>
      <c r="H132" s="85">
        <v>45017</v>
      </c>
      <c r="I132" s="85">
        <v>46112</v>
      </c>
      <c r="J132" s="86" t="s">
        <v>759</v>
      </c>
      <c r="K132" s="86" t="s">
        <v>34</v>
      </c>
      <c r="L132" s="86" t="s">
        <v>697</v>
      </c>
      <c r="M132" s="86"/>
      <c r="N132" s="87">
        <v>14734.25</v>
      </c>
      <c r="O132" s="87">
        <v>0</v>
      </c>
      <c r="P132" s="87">
        <v>6072</v>
      </c>
      <c r="Q132" s="1">
        <v>0</v>
      </c>
      <c r="R132" s="1">
        <v>100</v>
      </c>
      <c r="S132" s="86" t="s">
        <v>697</v>
      </c>
    </row>
    <row r="133" spans="1:19" ht="14.25" customHeight="1" x14ac:dyDescent="0.2">
      <c r="A133" s="1" t="s">
        <v>329</v>
      </c>
      <c r="B133" s="1" t="s">
        <v>694</v>
      </c>
      <c r="C133" s="1" t="s">
        <v>704</v>
      </c>
      <c r="D133" s="1">
        <v>11</v>
      </c>
      <c r="E133" s="1" t="s">
        <v>427</v>
      </c>
      <c r="F133" s="1" t="s">
        <v>705</v>
      </c>
      <c r="G133" s="324">
        <v>532182</v>
      </c>
      <c r="H133" s="85">
        <v>45017</v>
      </c>
      <c r="I133" s="85">
        <v>46112</v>
      </c>
      <c r="J133" s="86" t="s">
        <v>759</v>
      </c>
      <c r="K133" s="86" t="s">
        <v>34</v>
      </c>
      <c r="L133" s="86" t="s">
        <v>697</v>
      </c>
      <c r="M133" s="86"/>
      <c r="N133" s="87">
        <v>0</v>
      </c>
      <c r="O133" s="87">
        <v>0</v>
      </c>
      <c r="P133" s="87">
        <v>0</v>
      </c>
      <c r="Q133" s="1">
        <v>0</v>
      </c>
      <c r="R133" s="1">
        <v>50</v>
      </c>
      <c r="S133" s="86" t="s">
        <v>697</v>
      </c>
    </row>
    <row r="134" spans="1:19" ht="14.25" customHeight="1" x14ac:dyDescent="0.2">
      <c r="A134" s="1" t="s">
        <v>330</v>
      </c>
      <c r="B134" s="1" t="s">
        <v>694</v>
      </c>
      <c r="C134" s="1" t="s">
        <v>704</v>
      </c>
      <c r="D134" s="1">
        <v>11</v>
      </c>
      <c r="E134" s="1" t="s">
        <v>428</v>
      </c>
      <c r="F134" s="1" t="s">
        <v>572</v>
      </c>
      <c r="G134" s="324">
        <v>485986</v>
      </c>
      <c r="H134" s="85">
        <v>45017</v>
      </c>
      <c r="I134" s="85">
        <v>46112</v>
      </c>
      <c r="J134" s="86" t="s">
        <v>759</v>
      </c>
      <c r="K134" s="86" t="s">
        <v>34</v>
      </c>
      <c r="L134" s="86" t="s">
        <v>697</v>
      </c>
      <c r="M134" s="86"/>
      <c r="N134" s="87">
        <v>37144</v>
      </c>
      <c r="O134" s="87">
        <v>98776</v>
      </c>
      <c r="P134" s="87">
        <v>0</v>
      </c>
      <c r="Q134" s="1">
        <v>0</v>
      </c>
      <c r="R134" s="1">
        <v>80</v>
      </c>
      <c r="S134" s="86" t="s">
        <v>697</v>
      </c>
    </row>
    <row r="135" spans="1:19" ht="14.25" customHeight="1" x14ac:dyDescent="0.2">
      <c r="A135" s="1" t="s">
        <v>331</v>
      </c>
      <c r="B135" s="1" t="s">
        <v>694</v>
      </c>
      <c r="C135" s="1" t="s">
        <v>704</v>
      </c>
      <c r="D135" s="1">
        <v>11</v>
      </c>
      <c r="E135" s="1" t="s">
        <v>429</v>
      </c>
      <c r="F135" s="1" t="s">
        <v>605</v>
      </c>
      <c r="G135" s="324">
        <v>273579</v>
      </c>
      <c r="H135" s="85">
        <v>45108</v>
      </c>
      <c r="I135" s="85">
        <v>46112</v>
      </c>
      <c r="J135" s="86" t="s">
        <v>759</v>
      </c>
      <c r="K135" s="86" t="s">
        <v>34</v>
      </c>
      <c r="L135" s="86" t="s">
        <v>697</v>
      </c>
      <c r="M135" s="86"/>
      <c r="N135" s="87">
        <v>0</v>
      </c>
      <c r="O135" s="87">
        <v>30328</v>
      </c>
      <c r="P135" s="87">
        <v>0</v>
      </c>
      <c r="Q135" s="1">
        <v>0</v>
      </c>
      <c r="R135" s="1">
        <v>80</v>
      </c>
      <c r="S135" s="86" t="s">
        <v>697</v>
      </c>
    </row>
    <row r="136" spans="1:19" ht="14.25" customHeight="1" x14ac:dyDescent="0.2">
      <c r="A136" s="1" t="s">
        <v>332</v>
      </c>
      <c r="B136" s="1" t="s">
        <v>694</v>
      </c>
      <c r="C136" s="1" t="s">
        <v>704</v>
      </c>
      <c r="D136" s="1">
        <v>11</v>
      </c>
      <c r="E136" s="1" t="s">
        <v>430</v>
      </c>
      <c r="F136" s="1" t="s">
        <v>754</v>
      </c>
      <c r="G136" s="324">
        <v>599185</v>
      </c>
      <c r="H136" s="85">
        <v>45017</v>
      </c>
      <c r="I136" s="85">
        <v>46111</v>
      </c>
      <c r="J136" s="86" t="s">
        <v>759</v>
      </c>
      <c r="K136" s="86" t="s">
        <v>34</v>
      </c>
      <c r="L136" s="86" t="s">
        <v>697</v>
      </c>
      <c r="M136" s="86"/>
      <c r="N136" s="87">
        <v>0</v>
      </c>
      <c r="O136" s="87">
        <v>0</v>
      </c>
      <c r="P136" s="87">
        <v>0</v>
      </c>
      <c r="Q136" s="1">
        <v>0</v>
      </c>
      <c r="R136" s="1">
        <v>67</v>
      </c>
      <c r="S136" s="86" t="s">
        <v>697</v>
      </c>
    </row>
    <row r="137" spans="1:19" ht="14.25" customHeight="1" x14ac:dyDescent="0.25">
      <c r="I137" s="85"/>
      <c r="N137"/>
      <c r="O137"/>
      <c r="P137"/>
      <c r="Q137"/>
    </row>
    <row r="138" spans="1:19" ht="14.25" customHeight="1" x14ac:dyDescent="0.25">
      <c r="N138"/>
      <c r="O138"/>
      <c r="P138"/>
      <c r="Q138"/>
    </row>
  </sheetData>
  <conditionalFormatting sqref="A1:A69 A129:A1048576">
    <cfRule type="duplicateValues" dxfId="5" priority="12"/>
  </conditionalFormatting>
  <conditionalFormatting sqref="A1:A1048576">
    <cfRule type="duplicateValues" dxfId="4" priority="9"/>
  </conditionalFormatting>
  <conditionalFormatting sqref="G56:G129">
    <cfRule type="cellIs" dxfId="3" priority="1" operator="equal">
      <formula>0</formula>
    </cfRule>
    <cfRule type="cellIs" dxfId="2" priority="2" operator="equal">
      <formula>0</formula>
    </cfRule>
  </conditionalFormatting>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 r:id="rId2"/>
  <legacyDrawingHF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0D1F-4D14-4FB1-826B-15D93989C821}">
  <dimension ref="A1:AL557"/>
  <sheetViews>
    <sheetView showRuler="0" zoomScale="59" zoomScaleNormal="120" zoomScaleSheetLayoutView="400" zoomScalePageLayoutView="90" workbookViewId="0">
      <selection activeCell="M15" sqref="M15"/>
    </sheetView>
  </sheetViews>
  <sheetFormatPr defaultColWidth="9.28515625" defaultRowHeight="14.25" customHeight="1" x14ac:dyDescent="0.2"/>
  <cols>
    <col min="1" max="1" width="12.7109375" style="1" bestFit="1" customWidth="1"/>
    <col min="2" max="2" width="8.28515625" style="1" customWidth="1"/>
    <col min="3" max="3" width="6.7109375" style="1" customWidth="1"/>
    <col min="4" max="4" width="22.42578125" style="1" customWidth="1"/>
    <col min="5" max="5" width="26.7109375" style="1" customWidth="1"/>
    <col min="6" max="6" width="14.28515625" style="1" customWidth="1"/>
    <col min="7" max="7" width="9.28515625" style="1"/>
    <col min="8" max="8" width="16.5703125" style="1" bestFit="1" customWidth="1"/>
    <col min="9" max="11" width="10.28515625" style="1" bestFit="1" customWidth="1"/>
    <col min="12" max="12" width="3.28515625" style="1" customWidth="1"/>
    <col min="13" max="14" width="9.28515625" style="1"/>
    <col min="15" max="15" width="2.7109375" style="1" customWidth="1"/>
    <col min="16" max="16" width="3.28515625" style="1" bestFit="1" customWidth="1"/>
    <col min="17" max="17" width="12.28515625" style="1" bestFit="1" customWidth="1"/>
    <col min="18" max="19" width="23.42578125" style="1" bestFit="1" customWidth="1"/>
    <col min="20" max="20" width="4.5703125" style="1" bestFit="1" customWidth="1"/>
    <col min="21" max="21" width="7" style="1" customWidth="1"/>
    <col min="22" max="22" width="8.5703125" style="1" customWidth="1"/>
    <col min="23" max="23" width="7.28515625" style="1" bestFit="1" customWidth="1"/>
    <col min="24" max="24" width="5.7109375" style="1" bestFit="1" customWidth="1"/>
    <col min="25" max="25" width="3.28515625" style="1" bestFit="1" customWidth="1"/>
    <col min="26" max="26" width="8.28515625" style="1" bestFit="1" customWidth="1"/>
    <col min="27" max="27" width="5.7109375" style="1" bestFit="1" customWidth="1"/>
    <col min="28" max="28" width="8.28515625" style="1" bestFit="1" customWidth="1"/>
    <col min="29" max="29" width="11.5703125" style="1" bestFit="1" customWidth="1"/>
    <col min="30" max="16384" width="9.28515625" style="1"/>
  </cols>
  <sheetData>
    <row r="1" spans="1:38" ht="15" x14ac:dyDescent="0.25">
      <c r="A1" t="s">
        <v>144</v>
      </c>
      <c r="B1" t="s">
        <v>297</v>
      </c>
      <c r="C1" t="s">
        <v>811</v>
      </c>
      <c r="D1" t="s">
        <v>812</v>
      </c>
      <c r="E1" t="s">
        <v>436</v>
      </c>
      <c r="F1" t="s">
        <v>813</v>
      </c>
      <c r="H1" s="30" t="s">
        <v>814</v>
      </c>
      <c r="I1" s="30">
        <v>2022</v>
      </c>
      <c r="J1" s="30">
        <v>2023</v>
      </c>
      <c r="K1" s="30">
        <v>2024</v>
      </c>
      <c r="M1" s="39" t="s">
        <v>297</v>
      </c>
      <c r="N1" s="38" t="s">
        <v>815</v>
      </c>
      <c r="P1"/>
      <c r="Q1" s="64" t="s">
        <v>816</v>
      </c>
      <c r="R1" s="65" t="s">
        <v>817</v>
      </c>
      <c r="S1" s="65" t="s">
        <v>818</v>
      </c>
      <c r="T1"/>
      <c r="U1" s="67" t="s">
        <v>819</v>
      </c>
      <c r="V1" s="67" t="s">
        <v>820</v>
      </c>
      <c r="W1"/>
      <c r="Z1"/>
      <c r="AA1"/>
      <c r="AB1"/>
      <c r="AC1"/>
    </row>
    <row r="2" spans="1:38" ht="16.5" x14ac:dyDescent="0.3">
      <c r="A2" t="s">
        <v>821</v>
      </c>
      <c r="B2">
        <v>7</v>
      </c>
      <c r="C2">
        <v>2020</v>
      </c>
      <c r="D2" t="s">
        <v>822</v>
      </c>
      <c r="E2" t="s">
        <v>164</v>
      </c>
      <c r="F2">
        <v>0</v>
      </c>
      <c r="H2" s="31" t="s">
        <v>164</v>
      </c>
      <c r="I2" s="31">
        <f>SUMIFS($F:$F, $E:$E, $H2, $C:$C, I$1)</f>
        <v>127</v>
      </c>
      <c r="J2" s="31">
        <f t="shared" ref="J2:K17" si="0">SUMIFS($F:$F, $E:$E, $H2, $C:$C, J$1)</f>
        <v>606</v>
      </c>
      <c r="K2" s="31">
        <f t="shared" si="0"/>
        <v>141</v>
      </c>
      <c r="M2" s="40" cm="1">
        <f t="array" ref="M2:M6">_xlfn.UNIQUE(Table3[Round])</f>
        <v>7</v>
      </c>
      <c r="N2" s="35" cm="1">
        <f t="array" ref="N2">SUM(--(FREQUENCY(IF(B2:B557=M2, MATCH(A2:A557, A2:A557, 0)), ROW(A2:A557)--ROW(A2)+1) &gt; 0))</f>
        <v>1</v>
      </c>
      <c r="P2"/>
      <c r="Q2" s="63" t="s">
        <v>164</v>
      </c>
      <c r="R2" s="63">
        <f>SUMIFS($F:$F, $E:$E, $Q2, $B:$B,  $B$277)</f>
        <v>250</v>
      </c>
      <c r="S2" s="63">
        <f>SUMIFS($F:$F, $E:$E, $Q2, $B:$B,  $B$477)</f>
        <v>19</v>
      </c>
      <c r="T2"/>
      <c r="U2" s="68">
        <f>SUMIFS($F:$F, $E:$E, $Q2, $B:$B,  X$2, $D:$D,X$3)</f>
        <v>212</v>
      </c>
      <c r="V2" s="68">
        <f>SUMIFS($F:$F, $E:$E, $Q2, $B:$B,  Y$2, $D:$D,Y$3)</f>
        <v>19</v>
      </c>
      <c r="W2"/>
      <c r="X2">
        <v>10</v>
      </c>
      <c r="Y2">
        <v>11</v>
      </c>
      <c r="Z2"/>
      <c r="AA2"/>
      <c r="AB2"/>
      <c r="AC2"/>
      <c r="AE2" s="1" cm="1">
        <f t="array" ref="AE2">SUM(IF(FREQUENCY(IF($E$2:$E$557=H2, MATCH($A$2:$A$557, $A$2:$A$557, 0)), ROW($A$2:$A$557)-ROW($A$2)+1), 1))</f>
        <v>38</v>
      </c>
      <c r="AG2" s="1" t="str" cm="1">
        <f t="array" ref="AG2:AL557">Table3[]</f>
        <v>DPLUS089</v>
      </c>
      <c r="AH2" s="1">
        <v>7</v>
      </c>
      <c r="AI2" s="1">
        <v>2020</v>
      </c>
      <c r="AJ2" s="1" t="str">
        <v>Y1</v>
      </c>
      <c r="AK2" s="1" t="str">
        <v>DPLUS-A01</v>
      </c>
      <c r="AL2" s="1">
        <v>0</v>
      </c>
    </row>
    <row r="3" spans="1:38" ht="16.5" x14ac:dyDescent="0.3">
      <c r="A3" t="s">
        <v>821</v>
      </c>
      <c r="B3">
        <v>7</v>
      </c>
      <c r="C3">
        <v>2021</v>
      </c>
      <c r="D3" t="s">
        <v>823</v>
      </c>
      <c r="E3" t="s">
        <v>164</v>
      </c>
      <c r="F3">
        <v>3</v>
      </c>
      <c r="H3" s="2" t="s">
        <v>167</v>
      </c>
      <c r="I3" s="2">
        <f t="shared" ref="I3:K34" si="1">SUMIFS($F:$F, $E:$E, $H3, $C:$C, I$1)</f>
        <v>0</v>
      </c>
      <c r="J3" s="2">
        <f t="shared" si="0"/>
        <v>0</v>
      </c>
      <c r="K3" s="2">
        <f t="shared" si="0"/>
        <v>3</v>
      </c>
      <c r="M3" s="40">
        <v>8</v>
      </c>
      <c r="N3" s="35" cm="1">
        <f t="array" ref="N3">SUM(--(FREQUENCY(IF(B3:B558=M3, MATCH(A3:A558, A3:A558, 0)), ROW(A3:A558)--ROW(A3)+1) &gt; 0))</f>
        <v>9</v>
      </c>
      <c r="P3"/>
      <c r="Q3" s="33" t="s">
        <v>167</v>
      </c>
      <c r="R3" s="33">
        <f t="shared" ref="R3:R61" si="2">SUMIFS($F:$F, $E:$E, $Q3, $B:$B,  $B$277)</f>
        <v>2</v>
      </c>
      <c r="S3" s="33">
        <f t="shared" ref="S3:S61" si="3">SUMIFS($F:$F, $E:$E, $Q3, $B:$B,  $B$477)</f>
        <v>1</v>
      </c>
      <c r="T3"/>
      <c r="U3" s="68">
        <f t="shared" ref="U3:U34" si="4">SUMIFS($F:$F, $E:$E, $Q3, $B:$B,  X$2, $D:$D,X$3)</f>
        <v>0</v>
      </c>
      <c r="V3" s="68">
        <f t="shared" ref="V3:V61" si="5">SUMIFS($F:$F, $E:$E, $Q3, $B:$B,  Y$2, $D:$D,Y$3)</f>
        <v>1</v>
      </c>
      <c r="W3"/>
      <c r="X3" s="66" t="s">
        <v>822</v>
      </c>
      <c r="Y3" t="s">
        <v>822</v>
      </c>
      <c r="Z3"/>
      <c r="AA3"/>
      <c r="AB3"/>
      <c r="AC3"/>
      <c r="AE3" s="1" cm="1">
        <f t="array" ref="AE3">SUM(IF(FREQUENCY(IF($E$2:$E$557=H3, MATCH($A$2:$A$557, $A$2:$A$557, 0)), ROW($A$2:$A$557)-ROW($A$2)+1), 1))</f>
        <v>3</v>
      </c>
      <c r="AG3" s="1" t="str">
        <v>DPLUS089</v>
      </c>
      <c r="AH3" s="1">
        <v>7</v>
      </c>
      <c r="AI3" s="1">
        <v>2021</v>
      </c>
      <c r="AJ3" s="1" t="str">
        <v>Y2</v>
      </c>
      <c r="AK3" s="1" t="str">
        <v>DPLUS-A01</v>
      </c>
      <c r="AL3" s="1">
        <v>3</v>
      </c>
    </row>
    <row r="4" spans="1:38" ht="16.5" x14ac:dyDescent="0.3">
      <c r="A4" t="s">
        <v>821</v>
      </c>
      <c r="B4">
        <v>7</v>
      </c>
      <c r="C4">
        <v>2022</v>
      </c>
      <c r="D4" t="s">
        <v>824</v>
      </c>
      <c r="E4" t="s">
        <v>164</v>
      </c>
      <c r="F4">
        <v>0</v>
      </c>
      <c r="H4" s="31" t="s">
        <v>169</v>
      </c>
      <c r="I4" s="31">
        <f t="shared" si="1"/>
        <v>8</v>
      </c>
      <c r="J4" s="31">
        <f t="shared" si="0"/>
        <v>32</v>
      </c>
      <c r="K4" s="31">
        <f t="shared" si="0"/>
        <v>31</v>
      </c>
      <c r="M4" s="40">
        <v>9</v>
      </c>
      <c r="N4" s="35" cm="1">
        <f t="array" ref="N4">SUM(--(FREQUENCY(IF(B4:B559=M4, MATCH(A4:A559, A4:A559, 0)), ROW(A4:A559)--ROW(A4)+1) &gt; 0))</f>
        <v>19</v>
      </c>
      <c r="P4"/>
      <c r="Q4" s="63" t="s">
        <v>169</v>
      </c>
      <c r="R4" s="63">
        <f t="shared" si="2"/>
        <v>35</v>
      </c>
      <c r="S4" s="63">
        <f t="shared" si="3"/>
        <v>1</v>
      </c>
      <c r="T4"/>
      <c r="U4" s="68">
        <f t="shared" si="4"/>
        <v>20</v>
      </c>
      <c r="V4" s="68">
        <f t="shared" si="5"/>
        <v>1</v>
      </c>
      <c r="W4"/>
      <c r="X4"/>
      <c r="Y4"/>
      <c r="Z4"/>
      <c r="AA4"/>
      <c r="AB4"/>
      <c r="AC4"/>
      <c r="AE4" s="1" cm="1">
        <f t="array" ref="AE4">SUM(IF(FREQUENCY(IF($E$2:$E$557=H4, MATCH($A$2:$A$557, $A$2:$A$557, 0)), ROW($A$2:$A$557)-ROW($A$2)+1), 1))</f>
        <v>20</v>
      </c>
      <c r="AG4" s="1" t="str">
        <v>DPLUS089</v>
      </c>
      <c r="AH4" s="1">
        <v>7</v>
      </c>
      <c r="AI4" s="1">
        <v>2022</v>
      </c>
      <c r="AJ4" s="1" t="str">
        <v>Y3</v>
      </c>
      <c r="AK4" s="1" t="str">
        <v>DPLUS-A01</v>
      </c>
      <c r="AL4" s="1">
        <v>0</v>
      </c>
    </row>
    <row r="5" spans="1:38" ht="16.5" x14ac:dyDescent="0.3">
      <c r="A5" t="s">
        <v>56</v>
      </c>
      <c r="B5">
        <v>8</v>
      </c>
      <c r="C5">
        <v>2021</v>
      </c>
      <c r="D5" t="s">
        <v>822</v>
      </c>
      <c r="E5" t="s">
        <v>164</v>
      </c>
      <c r="F5">
        <v>0</v>
      </c>
      <c r="H5" s="2" t="s">
        <v>171</v>
      </c>
      <c r="I5" s="2">
        <f t="shared" si="1"/>
        <v>0</v>
      </c>
      <c r="J5" s="2">
        <f t="shared" si="0"/>
        <v>128</v>
      </c>
      <c r="K5" s="2">
        <f t="shared" si="0"/>
        <v>0</v>
      </c>
      <c r="M5" s="40">
        <v>10</v>
      </c>
      <c r="N5" s="35" cm="1">
        <f t="array" ref="N5">SUM(--(FREQUENCY(IF(B5:B560=M5, MATCH(A5:A560, A5:A560, 0)), ROW(A5:A560)--ROW(A5)+1) &gt; 0))</f>
        <v>19</v>
      </c>
      <c r="P5"/>
      <c r="Q5" s="33" t="s">
        <v>171</v>
      </c>
      <c r="R5" s="33">
        <f t="shared" si="2"/>
        <v>108</v>
      </c>
      <c r="S5" s="33">
        <f t="shared" si="3"/>
        <v>0</v>
      </c>
      <c r="U5" s="68">
        <f t="shared" si="4"/>
        <v>108</v>
      </c>
      <c r="V5" s="68">
        <f t="shared" si="5"/>
        <v>0</v>
      </c>
      <c r="AE5" s="1" cm="1">
        <f t="array" ref="AE5">SUM(IF(FREQUENCY(IF($E$2:$E$557=H5, MATCH($A$2:$A$557, $A$2:$A$557, 0)), ROW($A$2:$A$557)-ROW($A$2)+1), 1))</f>
        <v>7</v>
      </c>
      <c r="AG5" s="1" t="str">
        <v>DPLUS102</v>
      </c>
      <c r="AH5" s="1">
        <v>8</v>
      </c>
      <c r="AI5" s="1">
        <v>2021</v>
      </c>
      <c r="AJ5" s="1" t="str">
        <v>Y1</v>
      </c>
      <c r="AK5" s="1" t="str">
        <v>DPLUS-A01</v>
      </c>
      <c r="AL5" s="1">
        <v>0</v>
      </c>
    </row>
    <row r="6" spans="1:38" ht="16.5" x14ac:dyDescent="0.3">
      <c r="A6" t="s">
        <v>56</v>
      </c>
      <c r="B6">
        <v>8</v>
      </c>
      <c r="C6">
        <v>2022</v>
      </c>
      <c r="D6" t="s">
        <v>823</v>
      </c>
      <c r="E6" t="s">
        <v>164</v>
      </c>
      <c r="F6">
        <v>5</v>
      </c>
      <c r="H6" s="31" t="s">
        <v>174</v>
      </c>
      <c r="I6" s="31">
        <f t="shared" si="1"/>
        <v>0</v>
      </c>
      <c r="J6" s="31">
        <f t="shared" si="0"/>
        <v>7</v>
      </c>
      <c r="K6" s="31">
        <f t="shared" si="0"/>
        <v>0</v>
      </c>
      <c r="M6" s="41">
        <v>11</v>
      </c>
      <c r="N6" s="37" cm="1">
        <f t="array" ref="N6">SUM(--(FREQUENCY(IF(B6:B561=M6, MATCH(A6:A561, A6:A561, 0)), ROW(A6:A561)--ROW(A6)+1) &gt; 0))</f>
        <v>11</v>
      </c>
      <c r="P6"/>
      <c r="Q6" s="63" t="s">
        <v>174</v>
      </c>
      <c r="R6" s="63">
        <f t="shared" si="2"/>
        <v>6</v>
      </c>
      <c r="S6" s="63">
        <f t="shared" si="3"/>
        <v>0</v>
      </c>
      <c r="U6" s="68">
        <f t="shared" si="4"/>
        <v>6</v>
      </c>
      <c r="V6" s="68">
        <f t="shared" si="5"/>
        <v>0</v>
      </c>
      <c r="AE6" s="1" cm="1">
        <f t="array" ref="AE6">SUM(IF(FREQUENCY(IF($E$2:$E$557=H6, MATCH($A$2:$A$557, $A$2:$A$557, 0)), ROW($A$2:$A$557)-ROW($A$2)+1), 1))</f>
        <v>3</v>
      </c>
      <c r="AG6" s="1" t="str">
        <v>DPLUS102</v>
      </c>
      <c r="AH6" s="1">
        <v>8</v>
      </c>
      <c r="AI6" s="1">
        <v>2022</v>
      </c>
      <c r="AJ6" s="1" t="str">
        <v>Y2</v>
      </c>
      <c r="AK6" s="1" t="str">
        <v>DPLUS-A01</v>
      </c>
      <c r="AL6" s="1">
        <v>5</v>
      </c>
    </row>
    <row r="7" spans="1:38" ht="16.5" x14ac:dyDescent="0.3">
      <c r="A7" t="s">
        <v>56</v>
      </c>
      <c r="B7">
        <v>8</v>
      </c>
      <c r="C7">
        <v>2023</v>
      </c>
      <c r="D7" t="s">
        <v>824</v>
      </c>
      <c r="E7" t="s">
        <v>164</v>
      </c>
      <c r="F7">
        <v>0</v>
      </c>
      <c r="H7" s="2" t="s">
        <v>177</v>
      </c>
      <c r="I7" s="2">
        <f t="shared" si="1"/>
        <v>0</v>
      </c>
      <c r="J7" s="2">
        <f t="shared" si="0"/>
        <v>0</v>
      </c>
      <c r="K7" s="2">
        <f t="shared" si="0"/>
        <v>0</v>
      </c>
      <c r="P7"/>
      <c r="Q7" s="33" t="s">
        <v>177</v>
      </c>
      <c r="R7" s="33">
        <f t="shared" si="2"/>
        <v>0</v>
      </c>
      <c r="S7" s="33">
        <f t="shared" si="3"/>
        <v>0</v>
      </c>
      <c r="U7" s="68">
        <f t="shared" si="4"/>
        <v>0</v>
      </c>
      <c r="V7" s="68">
        <f t="shared" si="5"/>
        <v>0</v>
      </c>
      <c r="AE7" s="1" cm="1">
        <f t="array" ref="AE7">SUM(IF(FREQUENCY(IF($E$2:$E$557=H7, MATCH($A$2:$A$557, $A$2:$A$557, 0)), ROW($A$2:$A$557)-ROW($A$2)+1), 1))</f>
        <v>0</v>
      </c>
      <c r="AG7" s="1" t="str">
        <v>DPLUS102</v>
      </c>
      <c r="AH7" s="1">
        <v>8</v>
      </c>
      <c r="AI7" s="1">
        <v>2023</v>
      </c>
      <c r="AJ7" s="1" t="str">
        <v>Y3</v>
      </c>
      <c r="AK7" s="1" t="str">
        <v>DPLUS-A01</v>
      </c>
      <c r="AL7" s="1">
        <v>0</v>
      </c>
    </row>
    <row r="8" spans="1:38" ht="16.5" x14ac:dyDescent="0.3">
      <c r="A8" t="s">
        <v>56</v>
      </c>
      <c r="B8">
        <v>8</v>
      </c>
      <c r="C8">
        <v>2021</v>
      </c>
      <c r="D8" t="s">
        <v>822</v>
      </c>
      <c r="E8" t="s">
        <v>169</v>
      </c>
      <c r="F8">
        <v>0</v>
      </c>
      <c r="H8" s="31" t="s">
        <v>179</v>
      </c>
      <c r="I8" s="31">
        <f t="shared" si="1"/>
        <v>1</v>
      </c>
      <c r="J8" s="31">
        <f t="shared" si="0"/>
        <v>10</v>
      </c>
      <c r="K8" s="31">
        <f t="shared" si="0"/>
        <v>4</v>
      </c>
      <c r="P8"/>
      <c r="Q8" s="63" t="s">
        <v>179</v>
      </c>
      <c r="R8" s="63">
        <f t="shared" si="2"/>
        <v>13</v>
      </c>
      <c r="S8" s="63">
        <f t="shared" si="3"/>
        <v>0</v>
      </c>
      <c r="U8" s="68">
        <f t="shared" si="4"/>
        <v>9</v>
      </c>
      <c r="V8" s="68">
        <f t="shared" si="5"/>
        <v>0</v>
      </c>
      <c r="AE8" s="1" cm="1">
        <f t="array" ref="AE8">SUM(IF(FREQUENCY(IF($E$2:$E$557=H8, MATCH($A$2:$A$557, $A$2:$A$557, 0)), ROW($A$2:$A$557)-ROW($A$2)+1), 1))</f>
        <v>7</v>
      </c>
      <c r="AG8" s="1" t="str">
        <v>DPLUS102</v>
      </c>
      <c r="AH8" s="1">
        <v>8</v>
      </c>
      <c r="AI8" s="1">
        <v>2021</v>
      </c>
      <c r="AJ8" s="1" t="str">
        <v>Y1</v>
      </c>
      <c r="AK8" s="1" t="str">
        <v>DPLUS-A03</v>
      </c>
      <c r="AL8" s="1">
        <v>0</v>
      </c>
    </row>
    <row r="9" spans="1:38" ht="16.5" x14ac:dyDescent="0.3">
      <c r="A9" t="s">
        <v>56</v>
      </c>
      <c r="B9">
        <v>8</v>
      </c>
      <c r="C9">
        <v>2022</v>
      </c>
      <c r="D9" t="s">
        <v>823</v>
      </c>
      <c r="E9" t="s">
        <v>169</v>
      </c>
      <c r="F9">
        <v>2</v>
      </c>
      <c r="H9" s="2" t="s">
        <v>181</v>
      </c>
      <c r="I9" s="2">
        <f t="shared" si="1"/>
        <v>0</v>
      </c>
      <c r="J9" s="2">
        <f t="shared" si="0"/>
        <v>0</v>
      </c>
      <c r="K9" s="2">
        <f t="shared" si="0"/>
        <v>0</v>
      </c>
      <c r="P9"/>
      <c r="Q9" s="33" t="s">
        <v>181</v>
      </c>
      <c r="R9" s="33">
        <f t="shared" si="2"/>
        <v>0</v>
      </c>
      <c r="S9" s="33">
        <f t="shared" si="3"/>
        <v>0</v>
      </c>
      <c r="U9" s="68">
        <f t="shared" si="4"/>
        <v>0</v>
      </c>
      <c r="V9" s="68">
        <f t="shared" si="5"/>
        <v>0</v>
      </c>
      <c r="AE9" s="1" cm="1">
        <f t="array" ref="AE9">SUM(IF(FREQUENCY(IF($E$2:$E$557=H9, MATCH($A$2:$A$557, $A$2:$A$557, 0)), ROW($A$2:$A$557)-ROW($A$2)+1), 1))</f>
        <v>0</v>
      </c>
      <c r="AG9" s="1" t="str">
        <v>DPLUS102</v>
      </c>
      <c r="AH9" s="1">
        <v>8</v>
      </c>
      <c r="AI9" s="1">
        <v>2022</v>
      </c>
      <c r="AJ9" s="1" t="str">
        <v>Y2</v>
      </c>
      <c r="AK9" s="1" t="str">
        <v>DPLUS-A03</v>
      </c>
      <c r="AL9" s="1">
        <v>2</v>
      </c>
    </row>
    <row r="10" spans="1:38" ht="16.5" x14ac:dyDescent="0.3">
      <c r="A10" t="s">
        <v>56</v>
      </c>
      <c r="B10">
        <v>8</v>
      </c>
      <c r="C10">
        <v>2023</v>
      </c>
      <c r="D10" t="s">
        <v>824</v>
      </c>
      <c r="E10" t="s">
        <v>169</v>
      </c>
      <c r="F10">
        <v>0</v>
      </c>
      <c r="H10" s="31" t="s">
        <v>183</v>
      </c>
      <c r="I10" s="31">
        <f t="shared" si="1"/>
        <v>0</v>
      </c>
      <c r="J10" s="31">
        <f t="shared" si="0"/>
        <v>0</v>
      </c>
      <c r="K10" s="31">
        <f t="shared" si="0"/>
        <v>0</v>
      </c>
      <c r="P10"/>
      <c r="Q10" s="63" t="s">
        <v>183</v>
      </c>
      <c r="R10" s="63">
        <f t="shared" si="2"/>
        <v>0</v>
      </c>
      <c r="S10" s="63">
        <f t="shared" si="3"/>
        <v>0</v>
      </c>
      <c r="U10" s="68">
        <f t="shared" si="4"/>
        <v>0</v>
      </c>
      <c r="V10" s="68">
        <f t="shared" si="5"/>
        <v>0</v>
      </c>
      <c r="AE10" s="1" cm="1">
        <f t="array" ref="AE10">SUM(IF(FREQUENCY(IF($E$2:$E$557=H10, MATCH($A$2:$A$557, $A$2:$A$557, 0)), ROW($A$2:$A$557)-ROW($A$2)+1), 1))</f>
        <v>0</v>
      </c>
      <c r="AG10" s="1" t="str">
        <v>DPLUS102</v>
      </c>
      <c r="AH10" s="1">
        <v>8</v>
      </c>
      <c r="AI10" s="1">
        <v>2023</v>
      </c>
      <c r="AJ10" s="1" t="str">
        <v>Y3</v>
      </c>
      <c r="AK10" s="1" t="str">
        <v>DPLUS-A03</v>
      </c>
      <c r="AL10" s="1">
        <v>0</v>
      </c>
    </row>
    <row r="11" spans="1:38" ht="16.5" x14ac:dyDescent="0.3">
      <c r="A11" t="s">
        <v>56</v>
      </c>
      <c r="B11">
        <v>8</v>
      </c>
      <c r="C11">
        <v>2021</v>
      </c>
      <c r="D11" t="s">
        <v>822</v>
      </c>
      <c r="E11" t="s">
        <v>199</v>
      </c>
      <c r="F11">
        <v>0</v>
      </c>
      <c r="H11" s="2" t="s">
        <v>185</v>
      </c>
      <c r="I11" s="2">
        <f t="shared" si="1"/>
        <v>0</v>
      </c>
      <c r="J11" s="2">
        <f t="shared" si="0"/>
        <v>0</v>
      </c>
      <c r="K11" s="2">
        <f t="shared" si="0"/>
        <v>0</v>
      </c>
      <c r="P11"/>
      <c r="Q11" s="33" t="s">
        <v>185</v>
      </c>
      <c r="R11" s="33">
        <f t="shared" si="2"/>
        <v>0</v>
      </c>
      <c r="S11" s="33">
        <f t="shared" si="3"/>
        <v>0</v>
      </c>
      <c r="U11" s="68">
        <f t="shared" si="4"/>
        <v>0</v>
      </c>
      <c r="V11" s="68">
        <f t="shared" si="5"/>
        <v>0</v>
      </c>
      <c r="AE11" s="1" cm="1">
        <f t="array" ref="AE11">SUM(IF(FREQUENCY(IF($E$2:$E$557=H11, MATCH($A$2:$A$557, $A$2:$A$557, 0)), ROW($A$2:$A$557)-ROW($A$2)+1), 1))</f>
        <v>0</v>
      </c>
      <c r="AG11" s="1" t="str">
        <v>DPLUS102</v>
      </c>
      <c r="AH11" s="1">
        <v>8</v>
      </c>
      <c r="AI11" s="1">
        <v>2021</v>
      </c>
      <c r="AJ11" s="1" t="str">
        <v>Y1</v>
      </c>
      <c r="AK11" s="1" t="str">
        <v>DPLUS-B06</v>
      </c>
      <c r="AL11" s="1">
        <v>0</v>
      </c>
    </row>
    <row r="12" spans="1:38" ht="16.5" x14ac:dyDescent="0.3">
      <c r="A12" t="s">
        <v>56</v>
      </c>
      <c r="B12">
        <v>8</v>
      </c>
      <c r="C12">
        <v>2022</v>
      </c>
      <c r="D12" t="s">
        <v>823</v>
      </c>
      <c r="E12" t="s">
        <v>199</v>
      </c>
      <c r="F12">
        <v>8</v>
      </c>
      <c r="H12" s="31" t="s">
        <v>188</v>
      </c>
      <c r="I12" s="31">
        <f t="shared" si="1"/>
        <v>0</v>
      </c>
      <c r="J12" s="31">
        <f t="shared" si="0"/>
        <v>7</v>
      </c>
      <c r="K12" s="31">
        <f t="shared" si="0"/>
        <v>11</v>
      </c>
      <c r="P12"/>
      <c r="Q12" s="63" t="s">
        <v>188</v>
      </c>
      <c r="R12" s="63">
        <f t="shared" si="2"/>
        <v>3</v>
      </c>
      <c r="S12" s="63">
        <f t="shared" si="3"/>
        <v>0</v>
      </c>
      <c r="U12" s="68">
        <f t="shared" si="4"/>
        <v>1</v>
      </c>
      <c r="V12" s="68">
        <f t="shared" si="5"/>
        <v>0</v>
      </c>
      <c r="AE12" s="1" cm="1">
        <f t="array" ref="AE12">SUM(IF(FREQUENCY(IF($E$2:$E$557=H12, MATCH($A$2:$A$557, $A$2:$A$557, 0)), ROW($A$2:$A$557)-ROW($A$2)+1), 1))</f>
        <v>12</v>
      </c>
      <c r="AG12" s="1" t="str">
        <v>DPLUS102</v>
      </c>
      <c r="AH12" s="1">
        <v>8</v>
      </c>
      <c r="AI12" s="1">
        <v>2022</v>
      </c>
      <c r="AJ12" s="1" t="str">
        <v>Y2</v>
      </c>
      <c r="AK12" s="1" t="str">
        <v>DPLUS-B06</v>
      </c>
      <c r="AL12" s="1">
        <v>8</v>
      </c>
    </row>
    <row r="13" spans="1:38" ht="16.5" x14ac:dyDescent="0.3">
      <c r="A13" t="s">
        <v>56</v>
      </c>
      <c r="B13">
        <v>8</v>
      </c>
      <c r="C13">
        <v>2023</v>
      </c>
      <c r="D13" t="s">
        <v>824</v>
      </c>
      <c r="E13" t="s">
        <v>199</v>
      </c>
      <c r="F13">
        <v>0</v>
      </c>
      <c r="H13" s="2" t="s">
        <v>190</v>
      </c>
      <c r="I13" s="2">
        <f t="shared" si="1"/>
        <v>0</v>
      </c>
      <c r="J13" s="2">
        <f t="shared" si="0"/>
        <v>1</v>
      </c>
      <c r="K13" s="2">
        <f t="shared" si="0"/>
        <v>1</v>
      </c>
      <c r="P13"/>
      <c r="Q13" s="33" t="s">
        <v>190</v>
      </c>
      <c r="R13" s="33">
        <f t="shared" si="2"/>
        <v>1</v>
      </c>
      <c r="S13" s="33">
        <f t="shared" si="3"/>
        <v>0</v>
      </c>
      <c r="U13" s="68">
        <f t="shared" si="4"/>
        <v>1</v>
      </c>
      <c r="V13" s="68">
        <f t="shared" si="5"/>
        <v>0</v>
      </c>
      <c r="AE13" s="1" cm="1">
        <f t="array" ref="AE13">SUM(IF(FREQUENCY(IF($E$2:$E$557=H13, MATCH($A$2:$A$557, $A$2:$A$557, 0)), ROW($A$2:$A$557)-ROW($A$2)+1), 1))</f>
        <v>10</v>
      </c>
      <c r="AG13" s="1" t="str">
        <v>DPLUS102</v>
      </c>
      <c r="AH13" s="1">
        <v>8</v>
      </c>
      <c r="AI13" s="1">
        <v>2023</v>
      </c>
      <c r="AJ13" s="1" t="str">
        <v>Y3</v>
      </c>
      <c r="AK13" s="1" t="str">
        <v>DPLUS-B06</v>
      </c>
      <c r="AL13" s="1">
        <v>0</v>
      </c>
    </row>
    <row r="14" spans="1:38" ht="16.5" x14ac:dyDescent="0.3">
      <c r="A14" t="s">
        <v>56</v>
      </c>
      <c r="B14">
        <v>8</v>
      </c>
      <c r="C14">
        <v>2021</v>
      </c>
      <c r="D14" t="s">
        <v>822</v>
      </c>
      <c r="E14" t="s">
        <v>215</v>
      </c>
      <c r="F14">
        <v>0</v>
      </c>
      <c r="H14" s="31" t="s">
        <v>192</v>
      </c>
      <c r="I14" s="31">
        <f t="shared" si="1"/>
        <v>0</v>
      </c>
      <c r="J14" s="31">
        <f t="shared" si="0"/>
        <v>10</v>
      </c>
      <c r="K14" s="31">
        <f t="shared" si="0"/>
        <v>0</v>
      </c>
      <c r="P14"/>
      <c r="Q14" s="63" t="s">
        <v>192</v>
      </c>
      <c r="R14" s="63">
        <f t="shared" si="2"/>
        <v>0</v>
      </c>
      <c r="S14" s="63">
        <f t="shared" si="3"/>
        <v>0</v>
      </c>
      <c r="U14" s="68">
        <f t="shared" si="4"/>
        <v>0</v>
      </c>
      <c r="V14" s="68">
        <f t="shared" si="5"/>
        <v>0</v>
      </c>
      <c r="AE14" s="1" cm="1">
        <f t="array" ref="AE14">SUM(IF(FREQUENCY(IF($E$2:$E$557=H14, MATCH($A$2:$A$557, $A$2:$A$557, 0)), ROW($A$2:$A$557)-ROW($A$2)+1), 1))</f>
        <v>2</v>
      </c>
      <c r="AG14" s="1" t="str">
        <v>DPLUS102</v>
      </c>
      <c r="AH14" s="1">
        <v>8</v>
      </c>
      <c r="AI14" s="1">
        <v>2021</v>
      </c>
      <c r="AJ14" s="1" t="str">
        <v>Y1</v>
      </c>
      <c r="AK14" s="1" t="str">
        <v>DPLUS-C01</v>
      </c>
      <c r="AL14" s="1">
        <v>0</v>
      </c>
    </row>
    <row r="15" spans="1:38" ht="16.5" x14ac:dyDescent="0.3">
      <c r="A15" t="s">
        <v>56</v>
      </c>
      <c r="B15">
        <v>8</v>
      </c>
      <c r="C15">
        <v>2022</v>
      </c>
      <c r="D15" t="s">
        <v>823</v>
      </c>
      <c r="E15" t="s">
        <v>215</v>
      </c>
      <c r="F15">
        <v>3</v>
      </c>
      <c r="H15" s="2" t="s">
        <v>195</v>
      </c>
      <c r="I15" s="2">
        <f t="shared" si="1"/>
        <v>0</v>
      </c>
      <c r="J15" s="2">
        <f t="shared" si="0"/>
        <v>0</v>
      </c>
      <c r="K15" s="2">
        <f t="shared" si="0"/>
        <v>0</v>
      </c>
      <c r="P15"/>
      <c r="Q15" s="33" t="s">
        <v>195</v>
      </c>
      <c r="R15" s="33">
        <f t="shared" si="2"/>
        <v>0</v>
      </c>
      <c r="S15" s="33">
        <f t="shared" si="3"/>
        <v>0</v>
      </c>
      <c r="U15" s="68">
        <f t="shared" si="4"/>
        <v>0</v>
      </c>
      <c r="V15" s="68">
        <f t="shared" si="5"/>
        <v>0</v>
      </c>
      <c r="AE15" s="1" cm="1">
        <f t="array" ref="AE15">SUM(IF(FREQUENCY(IF($E$2:$E$557=H15, MATCH($A$2:$A$557, $A$2:$A$557, 0)), ROW($A$2:$A$557)-ROW($A$2)+1), 1))</f>
        <v>1</v>
      </c>
      <c r="AG15" s="1" t="str">
        <v>DPLUS102</v>
      </c>
      <c r="AH15" s="1">
        <v>8</v>
      </c>
      <c r="AI15" s="1">
        <v>2022</v>
      </c>
      <c r="AJ15" s="1" t="str">
        <v>Y2</v>
      </c>
      <c r="AK15" s="1" t="str">
        <v>DPLUS-C01</v>
      </c>
      <c r="AL15" s="1">
        <v>3</v>
      </c>
    </row>
    <row r="16" spans="1:38" ht="16.5" x14ac:dyDescent="0.3">
      <c r="A16" t="s">
        <v>56</v>
      </c>
      <c r="B16">
        <v>8</v>
      </c>
      <c r="C16">
        <v>2023</v>
      </c>
      <c r="D16" t="s">
        <v>824</v>
      </c>
      <c r="E16" t="s">
        <v>215</v>
      </c>
      <c r="F16">
        <v>0</v>
      </c>
      <c r="H16" s="31" t="s">
        <v>197</v>
      </c>
      <c r="I16" s="31">
        <f t="shared" si="1"/>
        <v>0</v>
      </c>
      <c r="J16" s="31">
        <f t="shared" si="0"/>
        <v>22</v>
      </c>
      <c r="K16" s="31">
        <f t="shared" si="0"/>
        <v>31</v>
      </c>
      <c r="P16"/>
      <c r="Q16" s="63" t="s">
        <v>197</v>
      </c>
      <c r="R16" s="63">
        <f t="shared" si="2"/>
        <v>47</v>
      </c>
      <c r="S16" s="63">
        <f t="shared" si="3"/>
        <v>0</v>
      </c>
      <c r="U16" s="68">
        <f t="shared" si="4"/>
        <v>16</v>
      </c>
      <c r="V16" s="68">
        <f t="shared" si="5"/>
        <v>0</v>
      </c>
      <c r="AE16" s="1" cm="1">
        <f t="array" ref="AE16">SUM(IF(FREQUENCY(IF($E$2:$E$557=H16, MATCH($A$2:$A$557, $A$2:$A$557, 0)), ROW($A$2:$A$557)-ROW($A$2)+1), 1))</f>
        <v>4</v>
      </c>
      <c r="AG16" s="1" t="str">
        <v>DPLUS102</v>
      </c>
      <c r="AH16" s="1">
        <v>8</v>
      </c>
      <c r="AI16" s="1">
        <v>2023</v>
      </c>
      <c r="AJ16" s="1" t="str">
        <v>Y3</v>
      </c>
      <c r="AK16" s="1" t="str">
        <v>DPLUS-C01</v>
      </c>
      <c r="AL16" s="1">
        <v>0</v>
      </c>
    </row>
    <row r="17" spans="1:38" ht="16.5" x14ac:dyDescent="0.3">
      <c r="A17" t="s">
        <v>583</v>
      </c>
      <c r="B17">
        <v>8</v>
      </c>
      <c r="C17">
        <v>2021</v>
      </c>
      <c r="D17" t="s">
        <v>822</v>
      </c>
      <c r="E17" t="s">
        <v>164</v>
      </c>
      <c r="F17">
        <v>0</v>
      </c>
      <c r="H17" s="2" t="s">
        <v>199</v>
      </c>
      <c r="I17" s="2">
        <f t="shared" si="1"/>
        <v>8</v>
      </c>
      <c r="J17" s="2">
        <f t="shared" si="0"/>
        <v>0</v>
      </c>
      <c r="K17" s="2">
        <f t="shared" si="0"/>
        <v>0</v>
      </c>
      <c r="P17"/>
      <c r="Q17" s="33" t="s">
        <v>199</v>
      </c>
      <c r="R17" s="33">
        <f t="shared" si="2"/>
        <v>0</v>
      </c>
      <c r="S17" s="33">
        <f t="shared" si="3"/>
        <v>0</v>
      </c>
      <c r="U17" s="68">
        <f t="shared" si="4"/>
        <v>0</v>
      </c>
      <c r="V17" s="68">
        <f t="shared" si="5"/>
        <v>0</v>
      </c>
      <c r="AE17" s="1" cm="1">
        <f t="array" ref="AE17">SUM(IF(FREQUENCY(IF($E$2:$E$557=H17, MATCH($A$2:$A$557, $A$2:$A$557, 0)), ROW($A$2:$A$557)-ROW($A$2)+1), 1))</f>
        <v>1</v>
      </c>
      <c r="AG17" s="1" t="str">
        <v>DPLUS109</v>
      </c>
      <c r="AH17" s="1">
        <v>8</v>
      </c>
      <c r="AI17" s="1">
        <v>2021</v>
      </c>
      <c r="AJ17" s="1" t="str">
        <v>Y1</v>
      </c>
      <c r="AK17" s="1" t="str">
        <v>DPLUS-A01</v>
      </c>
      <c r="AL17" s="1">
        <v>0</v>
      </c>
    </row>
    <row r="18" spans="1:38" ht="16.5" x14ac:dyDescent="0.3">
      <c r="A18" t="s">
        <v>583</v>
      </c>
      <c r="B18">
        <v>8</v>
      </c>
      <c r="C18">
        <v>2022</v>
      </c>
      <c r="D18" t="s">
        <v>823</v>
      </c>
      <c r="E18" t="s">
        <v>164</v>
      </c>
      <c r="F18">
        <v>3</v>
      </c>
      <c r="H18" s="31" t="s">
        <v>201</v>
      </c>
      <c r="I18" s="31">
        <f t="shared" si="1"/>
        <v>0</v>
      </c>
      <c r="J18" s="31">
        <f t="shared" si="1"/>
        <v>0</v>
      </c>
      <c r="K18" s="31">
        <f t="shared" si="1"/>
        <v>0</v>
      </c>
      <c r="P18"/>
      <c r="Q18" s="63" t="s">
        <v>201</v>
      </c>
      <c r="R18" s="63">
        <f t="shared" si="2"/>
        <v>0</v>
      </c>
      <c r="S18" s="63">
        <f t="shared" si="3"/>
        <v>0</v>
      </c>
      <c r="U18" s="68">
        <f t="shared" si="4"/>
        <v>0</v>
      </c>
      <c r="V18" s="68">
        <f t="shared" si="5"/>
        <v>0</v>
      </c>
      <c r="AE18" s="1" cm="1">
        <f t="array" ref="AE18">SUM(IF(FREQUENCY(IF($E$2:$E$557=H18, MATCH($A$2:$A$557, $A$2:$A$557, 0)), ROW($A$2:$A$557)-ROW($A$2)+1), 1))</f>
        <v>0</v>
      </c>
      <c r="AG18" s="1" t="str">
        <v>DPLUS109</v>
      </c>
      <c r="AH18" s="1">
        <v>8</v>
      </c>
      <c r="AI18" s="1">
        <v>2022</v>
      </c>
      <c r="AJ18" s="1" t="str">
        <v>Y2</v>
      </c>
      <c r="AK18" s="1" t="str">
        <v>DPLUS-A01</v>
      </c>
      <c r="AL18" s="1">
        <v>3</v>
      </c>
    </row>
    <row r="19" spans="1:38" ht="16.5" x14ac:dyDescent="0.3">
      <c r="A19" t="s">
        <v>583</v>
      </c>
      <c r="B19">
        <v>8</v>
      </c>
      <c r="C19">
        <v>2023</v>
      </c>
      <c r="D19" t="s">
        <v>824</v>
      </c>
      <c r="E19" t="s">
        <v>164</v>
      </c>
      <c r="F19">
        <v>0</v>
      </c>
      <c r="H19" s="2" t="s">
        <v>203</v>
      </c>
      <c r="I19" s="2">
        <f t="shared" si="1"/>
        <v>0</v>
      </c>
      <c r="J19" s="2">
        <f t="shared" si="1"/>
        <v>0</v>
      </c>
      <c r="K19" s="2">
        <f t="shared" si="1"/>
        <v>0</v>
      </c>
      <c r="P19"/>
      <c r="Q19" s="33" t="s">
        <v>203</v>
      </c>
      <c r="R19" s="33">
        <f t="shared" si="2"/>
        <v>0</v>
      </c>
      <c r="S19" s="33">
        <f t="shared" si="3"/>
        <v>0</v>
      </c>
      <c r="U19" s="68">
        <f t="shared" si="4"/>
        <v>0</v>
      </c>
      <c r="V19" s="68">
        <f t="shared" si="5"/>
        <v>0</v>
      </c>
      <c r="AE19" s="1" cm="1">
        <f t="array" ref="AE19">SUM(IF(FREQUENCY(IF($E$2:$E$557=H19, MATCH($A$2:$A$557, $A$2:$A$557, 0)), ROW($A$2:$A$557)-ROW($A$2)+1), 1))</f>
        <v>0</v>
      </c>
      <c r="AG19" s="1" t="str">
        <v>DPLUS109</v>
      </c>
      <c r="AH19" s="1">
        <v>8</v>
      </c>
      <c r="AI19" s="1">
        <v>2023</v>
      </c>
      <c r="AJ19" s="1" t="str">
        <v>Y3</v>
      </c>
      <c r="AK19" s="1" t="str">
        <v>DPLUS-A01</v>
      </c>
      <c r="AL19" s="1">
        <v>0</v>
      </c>
    </row>
    <row r="20" spans="1:38" ht="16.5" x14ac:dyDescent="0.3">
      <c r="A20" t="s">
        <v>583</v>
      </c>
      <c r="B20">
        <v>8</v>
      </c>
      <c r="C20">
        <v>2021</v>
      </c>
      <c r="D20" t="s">
        <v>822</v>
      </c>
      <c r="E20" t="s">
        <v>215</v>
      </c>
      <c r="F20">
        <v>0</v>
      </c>
      <c r="H20" s="31" t="s">
        <v>205</v>
      </c>
      <c r="I20" s="31">
        <f t="shared" si="1"/>
        <v>0</v>
      </c>
      <c r="J20" s="31">
        <f t="shared" si="1"/>
        <v>0</v>
      </c>
      <c r="K20" s="31">
        <f t="shared" si="1"/>
        <v>0</v>
      </c>
      <c r="P20"/>
      <c r="Q20" s="63" t="s">
        <v>205</v>
      </c>
      <c r="R20" s="63">
        <f t="shared" si="2"/>
        <v>0</v>
      </c>
      <c r="S20" s="63">
        <f t="shared" si="3"/>
        <v>0</v>
      </c>
      <c r="U20" s="68">
        <f t="shared" si="4"/>
        <v>0</v>
      </c>
      <c r="V20" s="68">
        <f t="shared" si="5"/>
        <v>0</v>
      </c>
      <c r="AE20" s="1" cm="1">
        <f t="array" ref="AE20">SUM(IF(FREQUENCY(IF($E$2:$E$557=H20, MATCH($A$2:$A$557, $A$2:$A$557, 0)), ROW($A$2:$A$557)-ROW($A$2)+1), 1))</f>
        <v>0</v>
      </c>
      <c r="AG20" s="1" t="str">
        <v>DPLUS109</v>
      </c>
      <c r="AH20" s="1">
        <v>8</v>
      </c>
      <c r="AI20" s="1">
        <v>2021</v>
      </c>
      <c r="AJ20" s="1" t="str">
        <v>Y1</v>
      </c>
      <c r="AK20" s="1" t="str">
        <v>DPLUS-C01</v>
      </c>
      <c r="AL20" s="1">
        <v>0</v>
      </c>
    </row>
    <row r="21" spans="1:38" ht="16.5" x14ac:dyDescent="0.3">
      <c r="A21" t="s">
        <v>583</v>
      </c>
      <c r="B21">
        <v>8</v>
      </c>
      <c r="C21">
        <v>2022</v>
      </c>
      <c r="D21" t="s">
        <v>823</v>
      </c>
      <c r="E21" t="s">
        <v>215</v>
      </c>
      <c r="F21">
        <v>0</v>
      </c>
      <c r="H21" s="2" t="s">
        <v>207</v>
      </c>
      <c r="I21" s="2">
        <f t="shared" si="1"/>
        <v>0</v>
      </c>
      <c r="J21" s="2">
        <f t="shared" si="1"/>
        <v>5</v>
      </c>
      <c r="K21" s="2">
        <f t="shared" si="1"/>
        <v>0</v>
      </c>
      <c r="P21"/>
      <c r="Q21" s="33" t="s">
        <v>207</v>
      </c>
      <c r="R21" s="33">
        <f t="shared" si="2"/>
        <v>0</v>
      </c>
      <c r="S21" s="33">
        <f t="shared" si="3"/>
        <v>0</v>
      </c>
      <c r="U21" s="68">
        <f t="shared" si="4"/>
        <v>0</v>
      </c>
      <c r="V21" s="68">
        <f t="shared" si="5"/>
        <v>0</v>
      </c>
      <c r="AE21" s="1" cm="1">
        <f t="array" ref="AE21">SUM(IF(FREQUENCY(IF($E$2:$E$557=H21, MATCH($A$2:$A$557, $A$2:$A$557, 0)), ROW($A$2:$A$557)-ROW($A$2)+1), 1))</f>
        <v>1</v>
      </c>
      <c r="AG21" s="1" t="str">
        <v>DPLUS109</v>
      </c>
      <c r="AH21" s="1">
        <v>8</v>
      </c>
      <c r="AI21" s="1">
        <v>2022</v>
      </c>
      <c r="AJ21" s="1" t="str">
        <v>Y2</v>
      </c>
      <c r="AK21" s="1" t="str">
        <v>DPLUS-C01</v>
      </c>
      <c r="AL21" s="1">
        <v>0</v>
      </c>
    </row>
    <row r="22" spans="1:38" ht="16.5" x14ac:dyDescent="0.3">
      <c r="A22" t="s">
        <v>583</v>
      </c>
      <c r="B22">
        <v>8</v>
      </c>
      <c r="C22">
        <v>2023</v>
      </c>
      <c r="D22" t="s">
        <v>824</v>
      </c>
      <c r="E22" t="s">
        <v>215</v>
      </c>
      <c r="F22">
        <v>1</v>
      </c>
      <c r="H22" s="31" t="s">
        <v>210</v>
      </c>
      <c r="I22" s="31">
        <f t="shared" si="1"/>
        <v>0</v>
      </c>
      <c r="J22" s="31">
        <f t="shared" si="1"/>
        <v>0</v>
      </c>
      <c r="K22" s="31">
        <f t="shared" si="1"/>
        <v>3</v>
      </c>
      <c r="P22"/>
      <c r="Q22" s="63" t="s">
        <v>210</v>
      </c>
      <c r="R22" s="63">
        <f t="shared" si="2"/>
        <v>0</v>
      </c>
      <c r="S22" s="63">
        <f t="shared" si="3"/>
        <v>0</v>
      </c>
      <c r="U22" s="68">
        <f t="shared" si="4"/>
        <v>0</v>
      </c>
      <c r="V22" s="68">
        <f t="shared" si="5"/>
        <v>0</v>
      </c>
      <c r="AE22" s="1" cm="1">
        <f t="array" ref="AE22">SUM(IF(FREQUENCY(IF($E$2:$E$557=H22, MATCH($A$2:$A$557, $A$2:$A$557, 0)), ROW($A$2:$A$557)-ROW($A$2)+1), 1))</f>
        <v>3</v>
      </c>
      <c r="AG22" s="1" t="str">
        <v>DPLUS109</v>
      </c>
      <c r="AH22" s="1">
        <v>8</v>
      </c>
      <c r="AI22" s="1">
        <v>2023</v>
      </c>
      <c r="AJ22" s="1" t="str">
        <v>Y3</v>
      </c>
      <c r="AK22" s="1" t="str">
        <v>DPLUS-C01</v>
      </c>
      <c r="AL22" s="1">
        <v>1</v>
      </c>
    </row>
    <row r="23" spans="1:38" ht="16.5" x14ac:dyDescent="0.3">
      <c r="A23" t="s">
        <v>583</v>
      </c>
      <c r="B23">
        <v>8</v>
      </c>
      <c r="C23">
        <v>2021</v>
      </c>
      <c r="D23" t="s">
        <v>822</v>
      </c>
      <c r="E23" t="s">
        <v>250</v>
      </c>
      <c r="F23">
        <v>0</v>
      </c>
      <c r="H23" s="2" t="s">
        <v>212</v>
      </c>
      <c r="I23" s="2">
        <f t="shared" si="1"/>
        <v>0</v>
      </c>
      <c r="J23" s="2">
        <f t="shared" si="1"/>
        <v>0</v>
      </c>
      <c r="K23" s="2">
        <f t="shared" si="1"/>
        <v>0</v>
      </c>
      <c r="P23"/>
      <c r="Q23" s="33" t="s">
        <v>212</v>
      </c>
      <c r="R23" s="33">
        <f t="shared" si="2"/>
        <v>0</v>
      </c>
      <c r="S23" s="33">
        <f t="shared" si="3"/>
        <v>0</v>
      </c>
      <c r="U23" s="68">
        <f t="shared" si="4"/>
        <v>0</v>
      </c>
      <c r="V23" s="68">
        <f t="shared" si="5"/>
        <v>0</v>
      </c>
      <c r="AE23" s="1" cm="1">
        <f t="array" ref="AE23">SUM(IF(FREQUENCY(IF($E$2:$E$557=H23, MATCH($A$2:$A$557, $A$2:$A$557, 0)), ROW($A$2:$A$557)-ROW($A$2)+1), 1))</f>
        <v>0</v>
      </c>
      <c r="AG23" s="1" t="str">
        <v>DPLUS109</v>
      </c>
      <c r="AH23" s="1">
        <v>8</v>
      </c>
      <c r="AI23" s="1">
        <v>2021</v>
      </c>
      <c r="AJ23" s="1" t="str">
        <v>Y1</v>
      </c>
      <c r="AK23" s="1" t="str">
        <v>DPLUS-C17</v>
      </c>
      <c r="AL23" s="1">
        <v>0</v>
      </c>
    </row>
    <row r="24" spans="1:38" ht="16.5" x14ac:dyDescent="0.3">
      <c r="A24" t="s">
        <v>583</v>
      </c>
      <c r="B24">
        <v>8</v>
      </c>
      <c r="C24">
        <v>2022</v>
      </c>
      <c r="D24" t="s">
        <v>823</v>
      </c>
      <c r="E24" t="s">
        <v>250</v>
      </c>
      <c r="F24">
        <v>0</v>
      </c>
      <c r="H24" s="31" t="s">
        <v>215</v>
      </c>
      <c r="I24" s="31">
        <f t="shared" si="1"/>
        <v>10</v>
      </c>
      <c r="J24" s="31">
        <f t="shared" si="1"/>
        <v>38</v>
      </c>
      <c r="K24" s="31">
        <f t="shared" si="1"/>
        <v>18</v>
      </c>
      <c r="P24"/>
      <c r="Q24" s="63" t="s">
        <v>215</v>
      </c>
      <c r="R24" s="63">
        <f t="shared" si="2"/>
        <v>25</v>
      </c>
      <c r="S24" s="63">
        <f t="shared" si="3"/>
        <v>0</v>
      </c>
      <c r="U24" s="68">
        <f t="shared" si="4"/>
        <v>10</v>
      </c>
      <c r="V24" s="68">
        <f t="shared" si="5"/>
        <v>0</v>
      </c>
      <c r="AE24" s="1" cm="1">
        <f t="array" ref="AE24">SUM(IF(FREQUENCY(IF($E$2:$E$557=H24, MATCH($A$2:$A$557, $A$2:$A$557, 0)), ROW($A$2:$A$557)-ROW($A$2)+1), 1))</f>
        <v>14</v>
      </c>
      <c r="AG24" s="1" t="str">
        <v>DPLUS109</v>
      </c>
      <c r="AH24" s="1">
        <v>8</v>
      </c>
      <c r="AI24" s="1">
        <v>2022</v>
      </c>
      <c r="AJ24" s="1" t="str">
        <v>Y2</v>
      </c>
      <c r="AK24" s="1" t="str">
        <v>DPLUS-C17</v>
      </c>
      <c r="AL24" s="1">
        <v>0</v>
      </c>
    </row>
    <row r="25" spans="1:38" ht="16.5" x14ac:dyDescent="0.3">
      <c r="A25" t="s">
        <v>583</v>
      </c>
      <c r="B25">
        <v>8</v>
      </c>
      <c r="C25">
        <v>2023</v>
      </c>
      <c r="D25" t="s">
        <v>824</v>
      </c>
      <c r="E25" t="s">
        <v>250</v>
      </c>
      <c r="F25">
        <v>3</v>
      </c>
      <c r="H25" s="2" t="s">
        <v>217</v>
      </c>
      <c r="I25" s="2">
        <f t="shared" si="1"/>
        <v>1</v>
      </c>
      <c r="J25" s="2">
        <f t="shared" si="1"/>
        <v>0</v>
      </c>
      <c r="K25" s="2">
        <f t="shared" si="1"/>
        <v>144</v>
      </c>
      <c r="P25"/>
      <c r="Q25" s="33" t="s">
        <v>217</v>
      </c>
      <c r="R25" s="33">
        <f t="shared" si="2"/>
        <v>15</v>
      </c>
      <c r="S25" s="33">
        <f t="shared" si="3"/>
        <v>1</v>
      </c>
      <c r="U25" s="68">
        <f t="shared" si="4"/>
        <v>0</v>
      </c>
      <c r="V25" s="68">
        <f t="shared" si="5"/>
        <v>1</v>
      </c>
      <c r="AE25" s="1" cm="1">
        <f t="array" ref="AE25">SUM(IF(FREQUENCY(IF($E$2:$E$557=H25, MATCH($A$2:$A$557, $A$2:$A$557, 0)), ROW($A$2:$A$557)-ROW($A$2)+1), 1))</f>
        <v>8</v>
      </c>
      <c r="AG25" s="1" t="str">
        <v>DPLUS109</v>
      </c>
      <c r="AH25" s="1">
        <v>8</v>
      </c>
      <c r="AI25" s="1">
        <v>2023</v>
      </c>
      <c r="AJ25" s="1" t="str">
        <v>Y3</v>
      </c>
      <c r="AK25" s="1" t="str">
        <v>DPLUS-C17</v>
      </c>
      <c r="AL25" s="1">
        <v>3</v>
      </c>
    </row>
    <row r="26" spans="1:38" ht="16.5" x14ac:dyDescent="0.3">
      <c r="A26" t="s">
        <v>741</v>
      </c>
      <c r="B26">
        <v>8</v>
      </c>
      <c r="C26">
        <v>2021</v>
      </c>
      <c r="D26" t="s">
        <v>822</v>
      </c>
      <c r="E26" t="s">
        <v>164</v>
      </c>
      <c r="F26">
        <v>0</v>
      </c>
      <c r="H26" s="31" t="s">
        <v>219</v>
      </c>
      <c r="I26" s="31">
        <f t="shared" si="1"/>
        <v>0</v>
      </c>
      <c r="J26" s="31">
        <f t="shared" si="1"/>
        <v>0</v>
      </c>
      <c r="K26" s="31">
        <f t="shared" si="1"/>
        <v>1</v>
      </c>
      <c r="P26"/>
      <c r="Q26" s="63" t="s">
        <v>219</v>
      </c>
      <c r="R26" s="63">
        <f t="shared" si="2"/>
        <v>0</v>
      </c>
      <c r="S26" s="63">
        <f t="shared" si="3"/>
        <v>0</v>
      </c>
      <c r="U26" s="68">
        <f t="shared" si="4"/>
        <v>0</v>
      </c>
      <c r="V26" s="68">
        <f t="shared" si="5"/>
        <v>0</v>
      </c>
      <c r="AE26" s="1" cm="1">
        <f t="array" ref="AE26">SUM(IF(FREQUENCY(IF($E$2:$E$557=H26, MATCH($A$2:$A$557, $A$2:$A$557, 0)), ROW($A$2:$A$557)-ROW($A$2)+1), 1))</f>
        <v>5</v>
      </c>
      <c r="AG26" s="1" t="str">
        <v>DPLUS110</v>
      </c>
      <c r="AH26" s="1">
        <v>8</v>
      </c>
      <c r="AI26" s="1">
        <v>2021</v>
      </c>
      <c r="AJ26" s="1" t="str">
        <v>Y1</v>
      </c>
      <c r="AK26" s="1" t="str">
        <v>DPLUS-A01</v>
      </c>
      <c r="AL26" s="1">
        <v>0</v>
      </c>
    </row>
    <row r="27" spans="1:38" ht="16.5" x14ac:dyDescent="0.3">
      <c r="A27" t="s">
        <v>741</v>
      </c>
      <c r="B27">
        <v>8</v>
      </c>
      <c r="C27">
        <v>2022</v>
      </c>
      <c r="D27" t="s">
        <v>823</v>
      </c>
      <c r="E27" t="s">
        <v>164</v>
      </c>
      <c r="F27">
        <v>14</v>
      </c>
      <c r="H27" s="2" t="s">
        <v>221</v>
      </c>
      <c r="I27" s="2">
        <f t="shared" si="1"/>
        <v>0</v>
      </c>
      <c r="J27" s="2">
        <f t="shared" si="1"/>
        <v>1</v>
      </c>
      <c r="K27" s="2">
        <f t="shared" si="1"/>
        <v>0</v>
      </c>
      <c r="P27"/>
      <c r="Q27" s="33" t="s">
        <v>221</v>
      </c>
      <c r="R27" s="33">
        <f t="shared" si="2"/>
        <v>1</v>
      </c>
      <c r="S27" s="33">
        <f t="shared" si="3"/>
        <v>0</v>
      </c>
      <c r="U27" s="68">
        <f t="shared" si="4"/>
        <v>1</v>
      </c>
      <c r="V27" s="68">
        <f t="shared" si="5"/>
        <v>0</v>
      </c>
      <c r="AE27" s="1" cm="1">
        <f t="array" ref="AE27">SUM(IF(FREQUENCY(IF($E$2:$E$557=H27, MATCH($A$2:$A$557, $A$2:$A$557, 0)), ROW($A$2:$A$557)-ROW($A$2)+1), 1))</f>
        <v>2</v>
      </c>
      <c r="AG27" s="1" t="str">
        <v>DPLUS110</v>
      </c>
      <c r="AH27" s="1">
        <v>8</v>
      </c>
      <c r="AI27" s="1">
        <v>2022</v>
      </c>
      <c r="AJ27" s="1" t="str">
        <v>Y2</v>
      </c>
      <c r="AK27" s="1" t="str">
        <v>DPLUS-A01</v>
      </c>
      <c r="AL27" s="1">
        <v>14</v>
      </c>
    </row>
    <row r="28" spans="1:38" ht="16.5" x14ac:dyDescent="0.3">
      <c r="A28" t="s">
        <v>741</v>
      </c>
      <c r="B28">
        <v>8</v>
      </c>
      <c r="C28">
        <v>2023</v>
      </c>
      <c r="D28" t="s">
        <v>824</v>
      </c>
      <c r="E28" t="s">
        <v>164</v>
      </c>
      <c r="F28">
        <v>0</v>
      </c>
      <c r="H28" s="31" t="s">
        <v>223</v>
      </c>
      <c r="I28" s="31">
        <f t="shared" si="1"/>
        <v>0</v>
      </c>
      <c r="J28" s="31">
        <f t="shared" si="1"/>
        <v>9</v>
      </c>
      <c r="K28" s="31">
        <f t="shared" si="1"/>
        <v>8</v>
      </c>
      <c r="P28"/>
      <c r="Q28" s="63" t="s">
        <v>223</v>
      </c>
      <c r="R28" s="63">
        <f t="shared" si="2"/>
        <v>16</v>
      </c>
      <c r="S28" s="63">
        <f t="shared" si="3"/>
        <v>0</v>
      </c>
      <c r="U28" s="68">
        <f t="shared" si="4"/>
        <v>8</v>
      </c>
      <c r="V28" s="68">
        <f t="shared" si="5"/>
        <v>0</v>
      </c>
      <c r="AE28" s="1" cm="1">
        <f t="array" ref="AE28">SUM(IF(FREQUENCY(IF($E$2:$E$557=H28, MATCH($A$2:$A$557, $A$2:$A$557, 0)), ROW($A$2:$A$557)-ROW($A$2)+1), 1))</f>
        <v>6</v>
      </c>
      <c r="AG28" s="1" t="str">
        <v>DPLUS110</v>
      </c>
      <c r="AH28" s="1">
        <v>8</v>
      </c>
      <c r="AI28" s="1">
        <v>2023</v>
      </c>
      <c r="AJ28" s="1" t="str">
        <v>Y3</v>
      </c>
      <c r="AK28" s="1" t="str">
        <v>DPLUS-A01</v>
      </c>
      <c r="AL28" s="1">
        <v>0</v>
      </c>
    </row>
    <row r="29" spans="1:38" ht="16.5" x14ac:dyDescent="0.3">
      <c r="A29" t="s">
        <v>58</v>
      </c>
      <c r="B29">
        <v>8</v>
      </c>
      <c r="C29">
        <v>2021</v>
      </c>
      <c r="D29" t="s">
        <v>822</v>
      </c>
      <c r="E29" t="s">
        <v>164</v>
      </c>
      <c r="F29">
        <v>20</v>
      </c>
      <c r="H29" s="2" t="s">
        <v>225</v>
      </c>
      <c r="I29" s="2">
        <f t="shared" si="1"/>
        <v>0</v>
      </c>
      <c r="J29" s="2">
        <f t="shared" si="1"/>
        <v>0</v>
      </c>
      <c r="K29" s="2">
        <f t="shared" si="1"/>
        <v>0</v>
      </c>
      <c r="P29"/>
      <c r="Q29" s="33" t="s">
        <v>225</v>
      </c>
      <c r="R29" s="33">
        <f t="shared" si="2"/>
        <v>0</v>
      </c>
      <c r="S29" s="33">
        <f t="shared" si="3"/>
        <v>0</v>
      </c>
      <c r="U29" s="68">
        <f t="shared" si="4"/>
        <v>0</v>
      </c>
      <c r="V29" s="68">
        <f t="shared" si="5"/>
        <v>0</v>
      </c>
      <c r="AE29" s="1" cm="1">
        <f t="array" ref="AE29">SUM(IF(FREQUENCY(IF($E$2:$E$557=H29, MATCH($A$2:$A$557, $A$2:$A$557, 0)), ROW($A$2:$A$557)-ROW($A$2)+1), 1))</f>
        <v>0</v>
      </c>
      <c r="AG29" s="1" t="str">
        <v>DPLUS112</v>
      </c>
      <c r="AH29" s="1">
        <v>8</v>
      </c>
      <c r="AI29" s="1">
        <v>2021</v>
      </c>
      <c r="AJ29" s="1" t="str">
        <v>Y1</v>
      </c>
      <c r="AK29" s="1" t="str">
        <v>DPLUS-A01</v>
      </c>
      <c r="AL29" s="1">
        <v>20</v>
      </c>
    </row>
    <row r="30" spans="1:38" ht="16.5" x14ac:dyDescent="0.3">
      <c r="A30" t="s">
        <v>58</v>
      </c>
      <c r="B30">
        <v>8</v>
      </c>
      <c r="C30">
        <v>2022</v>
      </c>
      <c r="D30" t="s">
        <v>823</v>
      </c>
      <c r="E30" t="s">
        <v>164</v>
      </c>
      <c r="F30">
        <v>0</v>
      </c>
      <c r="H30" s="31" t="s">
        <v>227</v>
      </c>
      <c r="I30" s="31">
        <f t="shared" si="1"/>
        <v>0</v>
      </c>
      <c r="J30" s="31">
        <f t="shared" si="1"/>
        <v>1</v>
      </c>
      <c r="K30" s="31">
        <f t="shared" si="1"/>
        <v>0</v>
      </c>
      <c r="P30"/>
      <c r="Q30" s="63" t="s">
        <v>227</v>
      </c>
      <c r="R30" s="63">
        <f t="shared" si="2"/>
        <v>0</v>
      </c>
      <c r="S30" s="63">
        <f t="shared" si="3"/>
        <v>0</v>
      </c>
      <c r="U30" s="68">
        <f t="shared" si="4"/>
        <v>0</v>
      </c>
      <c r="V30" s="68">
        <f t="shared" si="5"/>
        <v>0</v>
      </c>
      <c r="AE30" s="1" cm="1">
        <f t="array" ref="AE30">SUM(IF(FREQUENCY(IF($E$2:$E$557=H30, MATCH($A$2:$A$557, $A$2:$A$557, 0)), ROW($A$2:$A$557)-ROW($A$2)+1), 1))</f>
        <v>2</v>
      </c>
      <c r="AG30" s="1" t="str">
        <v>DPLUS112</v>
      </c>
      <c r="AH30" s="1">
        <v>8</v>
      </c>
      <c r="AI30" s="1">
        <v>2022</v>
      </c>
      <c r="AJ30" s="1" t="str">
        <v>Y2</v>
      </c>
      <c r="AK30" s="1" t="str">
        <v>DPLUS-A01</v>
      </c>
      <c r="AL30" s="1">
        <v>0</v>
      </c>
    </row>
    <row r="31" spans="1:38" ht="16.5" x14ac:dyDescent="0.3">
      <c r="A31" t="s">
        <v>58</v>
      </c>
      <c r="B31">
        <v>8</v>
      </c>
      <c r="C31">
        <v>2023</v>
      </c>
      <c r="D31" t="s">
        <v>824</v>
      </c>
      <c r="E31" t="s">
        <v>164</v>
      </c>
      <c r="F31">
        <v>0</v>
      </c>
      <c r="H31" s="2" t="s">
        <v>230</v>
      </c>
      <c r="I31" s="2">
        <f t="shared" si="1"/>
        <v>0</v>
      </c>
      <c r="J31" s="2">
        <f t="shared" si="1"/>
        <v>0</v>
      </c>
      <c r="K31" s="2">
        <f t="shared" si="1"/>
        <v>3</v>
      </c>
      <c r="P31"/>
      <c r="Q31" s="33" t="s">
        <v>230</v>
      </c>
      <c r="R31" s="33">
        <f t="shared" si="2"/>
        <v>0</v>
      </c>
      <c r="S31" s="33">
        <f t="shared" si="3"/>
        <v>0</v>
      </c>
      <c r="U31" s="68">
        <f t="shared" si="4"/>
        <v>0</v>
      </c>
      <c r="V31" s="68">
        <f t="shared" si="5"/>
        <v>0</v>
      </c>
      <c r="AE31" s="1" cm="1">
        <f t="array" ref="AE31">SUM(IF(FREQUENCY(IF($E$2:$E$557=H31, MATCH($A$2:$A$557, $A$2:$A$557, 0)), ROW($A$2:$A$557)-ROW($A$2)+1), 1))</f>
        <v>4</v>
      </c>
      <c r="AG31" s="1" t="str">
        <v>DPLUS112</v>
      </c>
      <c r="AH31" s="1">
        <v>8</v>
      </c>
      <c r="AI31" s="1">
        <v>2023</v>
      </c>
      <c r="AJ31" s="1" t="str">
        <v>Y3</v>
      </c>
      <c r="AK31" s="1" t="str">
        <v>DPLUS-A01</v>
      </c>
      <c r="AL31" s="1">
        <v>0</v>
      </c>
    </row>
    <row r="32" spans="1:38" ht="16.5" x14ac:dyDescent="0.3">
      <c r="A32" t="s">
        <v>58</v>
      </c>
      <c r="B32">
        <v>8</v>
      </c>
      <c r="C32">
        <v>2021</v>
      </c>
      <c r="D32" t="s">
        <v>822</v>
      </c>
      <c r="E32" t="s">
        <v>250</v>
      </c>
      <c r="F32">
        <v>1</v>
      </c>
      <c r="H32" s="31" t="s">
        <v>232</v>
      </c>
      <c r="I32" s="31">
        <f t="shared" si="1"/>
        <v>0</v>
      </c>
      <c r="J32" s="31">
        <f t="shared" si="1"/>
        <v>0</v>
      </c>
      <c r="K32" s="31">
        <f t="shared" si="1"/>
        <v>4</v>
      </c>
      <c r="P32"/>
      <c r="Q32" s="63" t="s">
        <v>232</v>
      </c>
      <c r="R32" s="63">
        <f t="shared" si="2"/>
        <v>0</v>
      </c>
      <c r="S32" s="63">
        <f t="shared" si="3"/>
        <v>4</v>
      </c>
      <c r="U32" s="68">
        <f t="shared" si="4"/>
        <v>0</v>
      </c>
      <c r="V32" s="68">
        <f t="shared" si="5"/>
        <v>4</v>
      </c>
      <c r="AE32" s="1" cm="1">
        <f t="array" ref="AE32">SUM(IF(FREQUENCY(IF($E$2:$E$557=H32, MATCH($A$2:$A$557, $A$2:$A$557, 0)), ROW($A$2:$A$557)-ROW($A$2)+1), 1))</f>
        <v>2</v>
      </c>
      <c r="AG32" s="1" t="str">
        <v>DPLUS112</v>
      </c>
      <c r="AH32" s="1">
        <v>8</v>
      </c>
      <c r="AI32" s="1">
        <v>2021</v>
      </c>
      <c r="AJ32" s="1" t="str">
        <v>Y1</v>
      </c>
      <c r="AK32" s="1" t="str">
        <v>DPLUS-C17</v>
      </c>
      <c r="AL32" s="1">
        <v>1</v>
      </c>
    </row>
    <row r="33" spans="1:38" ht="16.5" x14ac:dyDescent="0.3">
      <c r="A33" t="s">
        <v>58</v>
      </c>
      <c r="B33">
        <v>8</v>
      </c>
      <c r="C33">
        <v>2022</v>
      </c>
      <c r="D33" t="s">
        <v>823</v>
      </c>
      <c r="E33" t="s">
        <v>250</v>
      </c>
      <c r="F33">
        <v>0</v>
      </c>
      <c r="H33" s="2" t="s">
        <v>234</v>
      </c>
      <c r="I33" s="2">
        <f t="shared" si="1"/>
        <v>0</v>
      </c>
      <c r="J33" s="2">
        <f t="shared" si="1"/>
        <v>0</v>
      </c>
      <c r="K33" s="2">
        <f t="shared" si="1"/>
        <v>0</v>
      </c>
      <c r="P33"/>
      <c r="Q33" s="33" t="s">
        <v>234</v>
      </c>
      <c r="R33" s="33">
        <f t="shared" si="2"/>
        <v>0</v>
      </c>
      <c r="S33" s="33">
        <f t="shared" si="3"/>
        <v>0</v>
      </c>
      <c r="U33" s="68">
        <f t="shared" si="4"/>
        <v>0</v>
      </c>
      <c r="V33" s="68">
        <f t="shared" si="5"/>
        <v>0</v>
      </c>
      <c r="AE33" s="1" cm="1">
        <f t="array" ref="AE33">SUM(IF(FREQUENCY(IF($E$2:$E$557=H33, MATCH($A$2:$A$557, $A$2:$A$557, 0)), ROW($A$2:$A$557)-ROW($A$2)+1), 1))</f>
        <v>0</v>
      </c>
      <c r="AG33" s="1" t="str">
        <v>DPLUS112</v>
      </c>
      <c r="AH33" s="1">
        <v>8</v>
      </c>
      <c r="AI33" s="1">
        <v>2022</v>
      </c>
      <c r="AJ33" s="1" t="str">
        <v>Y2</v>
      </c>
      <c r="AK33" s="1" t="str">
        <v>DPLUS-C17</v>
      </c>
      <c r="AL33" s="1">
        <v>0</v>
      </c>
    </row>
    <row r="34" spans="1:38" ht="16.5" x14ac:dyDescent="0.3">
      <c r="A34" t="s">
        <v>58</v>
      </c>
      <c r="B34">
        <v>8</v>
      </c>
      <c r="C34">
        <v>2023</v>
      </c>
      <c r="D34" t="s">
        <v>824</v>
      </c>
      <c r="E34" t="s">
        <v>250</v>
      </c>
      <c r="F34">
        <v>0</v>
      </c>
      <c r="H34" s="31" t="s">
        <v>236</v>
      </c>
      <c r="I34" s="31">
        <f t="shared" si="1"/>
        <v>0</v>
      </c>
      <c r="J34" s="31">
        <f t="shared" si="1"/>
        <v>0</v>
      </c>
      <c r="K34" s="31">
        <f t="shared" si="1"/>
        <v>0</v>
      </c>
      <c r="P34"/>
      <c r="Q34" s="63" t="s">
        <v>236</v>
      </c>
      <c r="R34" s="63">
        <f t="shared" si="2"/>
        <v>0</v>
      </c>
      <c r="S34" s="63">
        <f t="shared" si="3"/>
        <v>0</v>
      </c>
      <c r="U34" s="68">
        <f t="shared" si="4"/>
        <v>0</v>
      </c>
      <c r="V34" s="68">
        <f t="shared" si="5"/>
        <v>0</v>
      </c>
      <c r="AE34" s="1" cm="1">
        <f t="array" ref="AE34">SUM(IF(FREQUENCY(IF($E$2:$E$557=H34, MATCH($A$2:$A$557, $A$2:$A$557, 0)), ROW($A$2:$A$557)-ROW($A$2)+1), 1))</f>
        <v>0</v>
      </c>
      <c r="AG34" s="1" t="str">
        <v>DPLUS112</v>
      </c>
      <c r="AH34" s="1">
        <v>8</v>
      </c>
      <c r="AI34" s="1">
        <v>2023</v>
      </c>
      <c r="AJ34" s="1" t="str">
        <v>Y3</v>
      </c>
      <c r="AK34" s="1" t="str">
        <v>DPLUS-C17</v>
      </c>
      <c r="AL34" s="1">
        <v>0</v>
      </c>
    </row>
    <row r="35" spans="1:38" ht="16.5" x14ac:dyDescent="0.3">
      <c r="A35" t="s">
        <v>825</v>
      </c>
      <c r="B35">
        <v>8</v>
      </c>
      <c r="C35">
        <v>2021</v>
      </c>
      <c r="D35" t="s">
        <v>822</v>
      </c>
      <c r="E35" t="s">
        <v>169</v>
      </c>
      <c r="F35">
        <v>0</v>
      </c>
      <c r="H35" s="2" t="s">
        <v>238</v>
      </c>
      <c r="I35" s="2">
        <f t="shared" ref="I35:K61" si="6">SUMIFS($F:$F, $E:$E, $H35, $C:$C, I$1)</f>
        <v>1000</v>
      </c>
      <c r="J35" s="2">
        <f t="shared" si="6"/>
        <v>163143</v>
      </c>
      <c r="K35" s="2">
        <f t="shared" si="6"/>
        <v>248335</v>
      </c>
      <c r="P35"/>
      <c r="Q35" s="33" t="s">
        <v>238</v>
      </c>
      <c r="R35" s="33">
        <f t="shared" si="2"/>
        <v>409014</v>
      </c>
      <c r="S35" s="33">
        <f t="shared" si="3"/>
        <v>0</v>
      </c>
      <c r="U35" s="68">
        <f t="shared" ref="U35:U61" si="7">SUMIFS($F:$F, $E:$E, $Q35, $B:$B,  X$2, $D:$D,X$3)</f>
        <v>162143</v>
      </c>
      <c r="V35" s="68">
        <f t="shared" si="5"/>
        <v>0</v>
      </c>
      <c r="AE35" s="1" cm="1">
        <f t="array" ref="AE35">SUM(IF(FREQUENCY(IF($E$2:$E$557=H35, MATCH($A$2:$A$557, $A$2:$A$557, 0)), ROW($A$2:$A$557)-ROW($A$2)+1), 1))</f>
        <v>7</v>
      </c>
      <c r="AG35" s="1" t="str">
        <v>DPLUS113</v>
      </c>
      <c r="AH35" s="1">
        <v>8</v>
      </c>
      <c r="AI35" s="1">
        <v>2021</v>
      </c>
      <c r="AJ35" s="1" t="str">
        <v>Y1</v>
      </c>
      <c r="AK35" s="1" t="str">
        <v>DPLUS-A03</v>
      </c>
      <c r="AL35" s="1">
        <v>0</v>
      </c>
    </row>
    <row r="36" spans="1:38" ht="16.5" x14ac:dyDescent="0.3">
      <c r="A36" t="s">
        <v>825</v>
      </c>
      <c r="B36">
        <v>8</v>
      </c>
      <c r="C36">
        <v>2022</v>
      </c>
      <c r="D36" t="s">
        <v>823</v>
      </c>
      <c r="E36" t="s">
        <v>169</v>
      </c>
      <c r="F36">
        <v>1</v>
      </c>
      <c r="H36" s="31" t="s">
        <v>240</v>
      </c>
      <c r="I36" s="31">
        <f t="shared" si="6"/>
        <v>0</v>
      </c>
      <c r="J36" s="31">
        <f t="shared" si="6"/>
        <v>409</v>
      </c>
      <c r="K36" s="31">
        <f t="shared" si="6"/>
        <v>61</v>
      </c>
      <c r="P36"/>
      <c r="Q36" s="63" t="s">
        <v>240</v>
      </c>
      <c r="R36" s="63">
        <f t="shared" si="2"/>
        <v>412</v>
      </c>
      <c r="S36" s="63">
        <f t="shared" si="3"/>
        <v>5</v>
      </c>
      <c r="U36" s="68">
        <f t="shared" si="7"/>
        <v>356</v>
      </c>
      <c r="V36" s="68">
        <f t="shared" si="5"/>
        <v>5</v>
      </c>
      <c r="AE36" s="1" cm="1">
        <f t="array" ref="AE36">SUM(IF(FREQUENCY(IF($E$2:$E$557=H36, MATCH($A$2:$A$557, $A$2:$A$557, 0)), ROW($A$2:$A$557)-ROW($A$2)+1), 1))</f>
        <v>3</v>
      </c>
      <c r="AG36" s="1" t="str">
        <v>DPLUS113</v>
      </c>
      <c r="AH36" s="1">
        <v>8</v>
      </c>
      <c r="AI36" s="1">
        <v>2022</v>
      </c>
      <c r="AJ36" s="1" t="str">
        <v>Y2</v>
      </c>
      <c r="AK36" s="1" t="str">
        <v>DPLUS-A03</v>
      </c>
      <c r="AL36" s="1">
        <v>1</v>
      </c>
    </row>
    <row r="37" spans="1:38" ht="16.5" x14ac:dyDescent="0.3">
      <c r="A37" t="s">
        <v>825</v>
      </c>
      <c r="B37">
        <v>8</v>
      </c>
      <c r="C37">
        <v>2023</v>
      </c>
      <c r="D37" t="s">
        <v>824</v>
      </c>
      <c r="E37" t="s">
        <v>169</v>
      </c>
      <c r="F37">
        <v>0</v>
      </c>
      <c r="H37" s="2" t="s">
        <v>243</v>
      </c>
      <c r="I37" s="2">
        <f t="shared" si="6"/>
        <v>10</v>
      </c>
      <c r="J37" s="2">
        <f t="shared" si="6"/>
        <v>15</v>
      </c>
      <c r="K37" s="2">
        <f t="shared" si="6"/>
        <v>0</v>
      </c>
      <c r="P37"/>
      <c r="Q37" s="33" t="s">
        <v>243</v>
      </c>
      <c r="R37" s="33">
        <f t="shared" si="2"/>
        <v>15</v>
      </c>
      <c r="S37" s="33">
        <f t="shared" si="3"/>
        <v>0</v>
      </c>
      <c r="U37" s="68">
        <f t="shared" si="7"/>
        <v>15</v>
      </c>
      <c r="V37" s="68">
        <f t="shared" si="5"/>
        <v>0</v>
      </c>
      <c r="AE37" s="1" cm="1">
        <f t="array" ref="AE37">SUM(IF(FREQUENCY(IF($E$2:$E$557=H37, MATCH($A$2:$A$557, $A$2:$A$557, 0)), ROW($A$2:$A$557)-ROW($A$2)+1), 1))</f>
        <v>2</v>
      </c>
      <c r="AG37" s="1" t="str">
        <v>DPLUS113</v>
      </c>
      <c r="AH37" s="1">
        <v>8</v>
      </c>
      <c r="AI37" s="1">
        <v>2023</v>
      </c>
      <c r="AJ37" s="1" t="str">
        <v>Y3</v>
      </c>
      <c r="AK37" s="1" t="str">
        <v>DPLUS-A03</v>
      </c>
      <c r="AL37" s="1">
        <v>0</v>
      </c>
    </row>
    <row r="38" spans="1:38" ht="16.5" x14ac:dyDescent="0.3">
      <c r="A38" t="s">
        <v>825</v>
      </c>
      <c r="B38">
        <v>8</v>
      </c>
      <c r="C38">
        <v>2021</v>
      </c>
      <c r="D38" t="s">
        <v>822</v>
      </c>
      <c r="E38" t="s">
        <v>188</v>
      </c>
      <c r="F38">
        <v>0</v>
      </c>
      <c r="H38" s="31" t="s">
        <v>245</v>
      </c>
      <c r="I38" s="31">
        <f t="shared" si="6"/>
        <v>8</v>
      </c>
      <c r="J38" s="31">
        <f t="shared" si="6"/>
        <v>54</v>
      </c>
      <c r="K38" s="31">
        <f t="shared" si="6"/>
        <v>33</v>
      </c>
      <c r="P38"/>
      <c r="Q38" s="63" t="s">
        <v>245</v>
      </c>
      <c r="R38" s="63">
        <f t="shared" si="2"/>
        <v>55</v>
      </c>
      <c r="S38" s="63">
        <f t="shared" si="3"/>
        <v>7</v>
      </c>
      <c r="U38" s="68">
        <f t="shared" si="7"/>
        <v>35</v>
      </c>
      <c r="V38" s="68">
        <f t="shared" si="5"/>
        <v>7</v>
      </c>
      <c r="AE38" s="1" cm="1">
        <f t="array" ref="AE38">SUM(IF(FREQUENCY(IF($E$2:$E$557=H38, MATCH($A$2:$A$557, $A$2:$A$557, 0)), ROW($A$2:$A$557)-ROW($A$2)+1), 1))</f>
        <v>9</v>
      </c>
      <c r="AG38" s="1" t="str">
        <v>DPLUS113</v>
      </c>
      <c r="AH38" s="1">
        <v>8</v>
      </c>
      <c r="AI38" s="1">
        <v>2021</v>
      </c>
      <c r="AJ38" s="1" t="str">
        <v>Y1</v>
      </c>
      <c r="AK38" s="1" t="str">
        <v>DPLUS-B01</v>
      </c>
      <c r="AL38" s="1">
        <v>0</v>
      </c>
    </row>
    <row r="39" spans="1:38" ht="16.5" x14ac:dyDescent="0.3">
      <c r="A39" t="s">
        <v>825</v>
      </c>
      <c r="B39">
        <v>8</v>
      </c>
      <c r="C39">
        <v>2022</v>
      </c>
      <c r="D39" t="s">
        <v>823</v>
      </c>
      <c r="E39" t="s">
        <v>188</v>
      </c>
      <c r="F39">
        <v>0</v>
      </c>
      <c r="H39" s="2" t="s">
        <v>247</v>
      </c>
      <c r="I39" s="2">
        <f t="shared" si="6"/>
        <v>201</v>
      </c>
      <c r="J39" s="2">
        <f t="shared" si="6"/>
        <v>3000</v>
      </c>
      <c r="K39" s="2">
        <f t="shared" si="6"/>
        <v>0</v>
      </c>
      <c r="P39"/>
      <c r="Q39" s="33" t="s">
        <v>247</v>
      </c>
      <c r="R39" s="33">
        <f t="shared" si="2"/>
        <v>0</v>
      </c>
      <c r="S39" s="33">
        <f t="shared" si="3"/>
        <v>0</v>
      </c>
      <c r="U39" s="68">
        <f t="shared" si="7"/>
        <v>0</v>
      </c>
      <c r="V39" s="68">
        <f t="shared" si="5"/>
        <v>0</v>
      </c>
      <c r="AE39" s="1" cm="1">
        <f t="array" ref="AE39">SUM(IF(FREQUENCY(IF($E$2:$E$557=H39, MATCH($A$2:$A$557, $A$2:$A$557, 0)), ROW($A$2:$A$557)-ROW($A$2)+1), 1))</f>
        <v>4</v>
      </c>
      <c r="AG39" s="1" t="str">
        <v>DPLUS113</v>
      </c>
      <c r="AH39" s="1">
        <v>8</v>
      </c>
      <c r="AI39" s="1">
        <v>2022</v>
      </c>
      <c r="AJ39" s="1" t="str">
        <v>Y2</v>
      </c>
      <c r="AK39" s="1" t="str">
        <v>DPLUS-B01</v>
      </c>
      <c r="AL39" s="1">
        <v>0</v>
      </c>
    </row>
    <row r="40" spans="1:38" ht="16.5" x14ac:dyDescent="0.3">
      <c r="A40" t="s">
        <v>825</v>
      </c>
      <c r="B40">
        <v>8</v>
      </c>
      <c r="C40">
        <v>2023</v>
      </c>
      <c r="D40" t="s">
        <v>824</v>
      </c>
      <c r="E40" t="s">
        <v>188</v>
      </c>
      <c r="F40">
        <v>5</v>
      </c>
      <c r="H40" s="31" t="s">
        <v>250</v>
      </c>
      <c r="I40" s="31">
        <f t="shared" si="6"/>
        <v>2</v>
      </c>
      <c r="J40" s="31">
        <f t="shared" si="6"/>
        <v>11</v>
      </c>
      <c r="K40" s="31">
        <f t="shared" si="6"/>
        <v>0</v>
      </c>
      <c r="P40"/>
      <c r="Q40" s="63" t="s">
        <v>250</v>
      </c>
      <c r="R40" s="63">
        <f t="shared" si="2"/>
        <v>3</v>
      </c>
      <c r="S40" s="63">
        <f t="shared" si="3"/>
        <v>0</v>
      </c>
      <c r="U40" s="68">
        <f t="shared" si="7"/>
        <v>3</v>
      </c>
      <c r="V40" s="68">
        <f t="shared" si="5"/>
        <v>0</v>
      </c>
      <c r="AE40" s="1" cm="1">
        <f t="array" ref="AE40">SUM(IF(FREQUENCY(IF($E$2:$E$557=H40, MATCH($A$2:$A$557, $A$2:$A$557, 0)), ROW($A$2:$A$557)-ROW($A$2)+1), 1))</f>
        <v>15</v>
      </c>
      <c r="AG40" s="1" t="str">
        <v>DPLUS113</v>
      </c>
      <c r="AH40" s="1">
        <v>8</v>
      </c>
      <c r="AI40" s="1">
        <v>2023</v>
      </c>
      <c r="AJ40" s="1" t="str">
        <v>Y3</v>
      </c>
      <c r="AK40" s="1" t="str">
        <v>DPLUS-B01</v>
      </c>
      <c r="AL40" s="1">
        <v>5</v>
      </c>
    </row>
    <row r="41" spans="1:38" ht="16.5" x14ac:dyDescent="0.3">
      <c r="A41" t="s">
        <v>825</v>
      </c>
      <c r="B41">
        <v>8</v>
      </c>
      <c r="C41">
        <v>2021</v>
      </c>
      <c r="D41" t="s">
        <v>822</v>
      </c>
      <c r="E41" t="s">
        <v>250</v>
      </c>
      <c r="F41">
        <v>0</v>
      </c>
      <c r="H41" s="2" t="s">
        <v>252</v>
      </c>
      <c r="I41" s="2">
        <f t="shared" si="6"/>
        <v>1</v>
      </c>
      <c r="J41" s="2">
        <f t="shared" si="6"/>
        <v>0</v>
      </c>
      <c r="K41" s="2">
        <f t="shared" si="6"/>
        <v>3</v>
      </c>
      <c r="P41"/>
      <c r="Q41" s="33" t="s">
        <v>252</v>
      </c>
      <c r="R41" s="33">
        <f t="shared" si="2"/>
        <v>0</v>
      </c>
      <c r="S41" s="33">
        <f t="shared" si="3"/>
        <v>0</v>
      </c>
      <c r="U41" s="68">
        <f t="shared" si="7"/>
        <v>0</v>
      </c>
      <c r="V41" s="68">
        <f t="shared" si="5"/>
        <v>0</v>
      </c>
      <c r="AE41" s="1" cm="1">
        <f t="array" ref="AE41">SUM(IF(FREQUENCY(IF($E$2:$E$557=H41, MATCH($A$2:$A$557, $A$2:$A$557, 0)), ROW($A$2:$A$557)-ROW($A$2)+1), 1))</f>
        <v>3</v>
      </c>
      <c r="AG41" s="1" t="str">
        <v>DPLUS113</v>
      </c>
      <c r="AH41" s="1">
        <v>8</v>
      </c>
      <c r="AI41" s="1">
        <v>2021</v>
      </c>
      <c r="AJ41" s="1" t="str">
        <v>Y1</v>
      </c>
      <c r="AK41" s="1" t="str">
        <v>DPLUS-C17</v>
      </c>
      <c r="AL41" s="1">
        <v>0</v>
      </c>
    </row>
    <row r="42" spans="1:38" ht="16.5" x14ac:dyDescent="0.3">
      <c r="A42" t="s">
        <v>825</v>
      </c>
      <c r="B42">
        <v>8</v>
      </c>
      <c r="C42">
        <v>2022</v>
      </c>
      <c r="D42" t="s">
        <v>823</v>
      </c>
      <c r="E42" t="s">
        <v>250</v>
      </c>
      <c r="F42">
        <v>0</v>
      </c>
      <c r="H42" s="31" t="s">
        <v>254</v>
      </c>
      <c r="I42" s="31">
        <f t="shared" si="6"/>
        <v>0</v>
      </c>
      <c r="J42" s="31">
        <f t="shared" si="6"/>
        <v>6</v>
      </c>
      <c r="K42" s="31">
        <f t="shared" si="6"/>
        <v>3</v>
      </c>
      <c r="P42"/>
      <c r="Q42" s="63" t="s">
        <v>254</v>
      </c>
      <c r="R42" s="63">
        <f t="shared" si="2"/>
        <v>4</v>
      </c>
      <c r="S42" s="63">
        <f t="shared" si="3"/>
        <v>2</v>
      </c>
      <c r="U42" s="68">
        <f t="shared" si="7"/>
        <v>4</v>
      </c>
      <c r="V42" s="68">
        <f t="shared" si="5"/>
        <v>2</v>
      </c>
      <c r="AE42" s="1" cm="1">
        <f t="array" ref="AE42">SUM(IF(FREQUENCY(IF($E$2:$E$557=H42, MATCH($A$2:$A$557, $A$2:$A$557, 0)), ROW($A$2:$A$557)-ROW($A$2)+1), 1))</f>
        <v>6</v>
      </c>
      <c r="AG42" s="1" t="str">
        <v>DPLUS113</v>
      </c>
      <c r="AH42" s="1">
        <v>8</v>
      </c>
      <c r="AI42" s="1">
        <v>2022</v>
      </c>
      <c r="AJ42" s="1" t="str">
        <v>Y2</v>
      </c>
      <c r="AK42" s="1" t="str">
        <v>DPLUS-C17</v>
      </c>
      <c r="AL42" s="1">
        <v>0</v>
      </c>
    </row>
    <row r="43" spans="1:38" ht="16.5" x14ac:dyDescent="0.3">
      <c r="A43" t="s">
        <v>825</v>
      </c>
      <c r="B43">
        <v>8</v>
      </c>
      <c r="C43">
        <v>2023</v>
      </c>
      <c r="D43" t="s">
        <v>824</v>
      </c>
      <c r="E43" t="s">
        <v>250</v>
      </c>
      <c r="F43">
        <v>2</v>
      </c>
      <c r="H43" s="2" t="s">
        <v>257</v>
      </c>
      <c r="I43" s="2">
        <f t="shared" si="6"/>
        <v>10</v>
      </c>
      <c r="J43" s="2">
        <f t="shared" si="6"/>
        <v>25.56</v>
      </c>
      <c r="K43" s="2">
        <f t="shared" si="6"/>
        <v>5</v>
      </c>
      <c r="P43"/>
      <c r="Q43" s="33" t="s">
        <v>257</v>
      </c>
      <c r="R43" s="33">
        <f t="shared" si="2"/>
        <v>0</v>
      </c>
      <c r="S43" s="33">
        <f t="shared" si="3"/>
        <v>0</v>
      </c>
      <c r="U43" s="68">
        <f t="shared" si="7"/>
        <v>0</v>
      </c>
      <c r="V43" s="68">
        <f t="shared" si="5"/>
        <v>0</v>
      </c>
      <c r="AE43" s="1" cm="1">
        <f t="array" ref="AE43">SUM(IF(FREQUENCY(IF($E$2:$E$557=H43, MATCH($A$2:$A$557, $A$2:$A$557, 0)), ROW($A$2:$A$557)-ROW($A$2)+1), 1))</f>
        <v>4</v>
      </c>
      <c r="AG43" s="1" t="str">
        <v>DPLUS113</v>
      </c>
      <c r="AH43" s="1">
        <v>8</v>
      </c>
      <c r="AI43" s="1">
        <v>2023</v>
      </c>
      <c r="AJ43" s="1" t="str">
        <v>Y3</v>
      </c>
      <c r="AK43" s="1" t="str">
        <v>DPLUS-C17</v>
      </c>
      <c r="AL43" s="1">
        <v>2</v>
      </c>
    </row>
    <row r="44" spans="1:38" ht="16.5" x14ac:dyDescent="0.3">
      <c r="A44" t="s">
        <v>825</v>
      </c>
      <c r="B44">
        <v>8</v>
      </c>
      <c r="C44">
        <v>2021</v>
      </c>
      <c r="D44" t="s">
        <v>822</v>
      </c>
      <c r="E44" t="s">
        <v>252</v>
      </c>
      <c r="F44">
        <v>0</v>
      </c>
      <c r="H44" s="31" t="s">
        <v>259</v>
      </c>
      <c r="I44" s="31">
        <f t="shared" si="6"/>
        <v>0</v>
      </c>
      <c r="J44" s="31">
        <f t="shared" si="6"/>
        <v>0</v>
      </c>
      <c r="K44" s="31">
        <f t="shared" si="6"/>
        <v>0</v>
      </c>
      <c r="P44"/>
      <c r="Q44" s="63" t="s">
        <v>259</v>
      </c>
      <c r="R44" s="63">
        <f t="shared" si="2"/>
        <v>0</v>
      </c>
      <c r="S44" s="63">
        <f t="shared" si="3"/>
        <v>0</v>
      </c>
      <c r="U44" s="68">
        <f t="shared" si="7"/>
        <v>0</v>
      </c>
      <c r="V44" s="68">
        <f t="shared" si="5"/>
        <v>0</v>
      </c>
      <c r="AE44" s="1" cm="1">
        <f t="array" ref="AE44">SUM(IF(FREQUENCY(IF($E$2:$E$557=H44, MATCH($A$2:$A$557, $A$2:$A$557, 0)), ROW($A$2:$A$557)-ROW($A$2)+1), 1))</f>
        <v>2</v>
      </c>
      <c r="AG44" s="1" t="str">
        <v>DPLUS113</v>
      </c>
      <c r="AH44" s="1">
        <v>8</v>
      </c>
      <c r="AI44" s="1">
        <v>2021</v>
      </c>
      <c r="AJ44" s="1" t="str">
        <v>Y1</v>
      </c>
      <c r="AK44" s="1" t="str">
        <v>DPLUS-C18</v>
      </c>
      <c r="AL44" s="1">
        <v>0</v>
      </c>
    </row>
    <row r="45" spans="1:38" ht="16.5" x14ac:dyDescent="0.3">
      <c r="A45" t="s">
        <v>825</v>
      </c>
      <c r="B45">
        <v>8</v>
      </c>
      <c r="C45">
        <v>2022</v>
      </c>
      <c r="D45" t="s">
        <v>823</v>
      </c>
      <c r="E45" t="s">
        <v>252</v>
      </c>
      <c r="F45">
        <v>1</v>
      </c>
      <c r="H45" s="2" t="s">
        <v>261</v>
      </c>
      <c r="I45" s="2">
        <f t="shared" si="6"/>
        <v>0</v>
      </c>
      <c r="J45" s="2">
        <f t="shared" si="6"/>
        <v>0</v>
      </c>
      <c r="K45" s="2">
        <f t="shared" si="6"/>
        <v>1</v>
      </c>
      <c r="P45"/>
      <c r="Q45" s="33" t="s">
        <v>261</v>
      </c>
      <c r="R45" s="33">
        <f t="shared" si="2"/>
        <v>1</v>
      </c>
      <c r="S45" s="33">
        <f t="shared" si="3"/>
        <v>0</v>
      </c>
      <c r="U45" s="68">
        <f t="shared" si="7"/>
        <v>0</v>
      </c>
      <c r="V45" s="68">
        <f t="shared" si="5"/>
        <v>0</v>
      </c>
      <c r="AE45" s="1" cm="1">
        <f t="array" ref="AE45">SUM(IF(FREQUENCY(IF($E$2:$E$557=H45, MATCH($A$2:$A$557, $A$2:$A$557, 0)), ROW($A$2:$A$557)-ROW($A$2)+1), 1))</f>
        <v>4</v>
      </c>
      <c r="AG45" s="1" t="str">
        <v>DPLUS113</v>
      </c>
      <c r="AH45" s="1">
        <v>8</v>
      </c>
      <c r="AI45" s="1">
        <v>2022</v>
      </c>
      <c r="AJ45" s="1" t="str">
        <v>Y2</v>
      </c>
      <c r="AK45" s="1" t="str">
        <v>DPLUS-C18</v>
      </c>
      <c r="AL45" s="1">
        <v>1</v>
      </c>
    </row>
    <row r="46" spans="1:38" ht="16.5" x14ac:dyDescent="0.3">
      <c r="A46" t="s">
        <v>825</v>
      </c>
      <c r="B46">
        <v>8</v>
      </c>
      <c r="C46">
        <v>2023</v>
      </c>
      <c r="D46" t="s">
        <v>824</v>
      </c>
      <c r="E46" t="s">
        <v>252</v>
      </c>
      <c r="F46">
        <v>0</v>
      </c>
      <c r="H46" s="31" t="s">
        <v>263</v>
      </c>
      <c r="I46" s="31">
        <f t="shared" si="6"/>
        <v>0</v>
      </c>
      <c r="J46" s="31">
        <f t="shared" si="6"/>
        <v>0</v>
      </c>
      <c r="K46" s="31">
        <f t="shared" si="6"/>
        <v>0</v>
      </c>
      <c r="P46"/>
      <c r="Q46" s="63" t="s">
        <v>263</v>
      </c>
      <c r="R46" s="63">
        <f t="shared" si="2"/>
        <v>0</v>
      </c>
      <c r="S46" s="63">
        <f t="shared" si="3"/>
        <v>0</v>
      </c>
      <c r="U46" s="68">
        <f t="shared" si="7"/>
        <v>0</v>
      </c>
      <c r="V46" s="68">
        <f t="shared" si="5"/>
        <v>0</v>
      </c>
      <c r="AE46" s="1" cm="1">
        <f t="array" ref="AE46">SUM(IF(FREQUENCY(IF($E$2:$E$557=H46, MATCH($A$2:$A$557, $A$2:$A$557, 0)), ROW($A$2:$A$557)-ROW($A$2)+1), 1))</f>
        <v>5</v>
      </c>
      <c r="AG46" s="1" t="str">
        <v>DPLUS113</v>
      </c>
      <c r="AH46" s="1">
        <v>8</v>
      </c>
      <c r="AI46" s="1">
        <v>2023</v>
      </c>
      <c r="AJ46" s="1" t="str">
        <v>Y3</v>
      </c>
      <c r="AK46" s="1" t="str">
        <v>DPLUS-C18</v>
      </c>
      <c r="AL46" s="1">
        <v>0</v>
      </c>
    </row>
    <row r="47" spans="1:38" ht="16.5" x14ac:dyDescent="0.3">
      <c r="A47" t="s">
        <v>825</v>
      </c>
      <c r="B47">
        <v>8</v>
      </c>
      <c r="C47">
        <v>2021</v>
      </c>
      <c r="D47" t="s">
        <v>822</v>
      </c>
      <c r="E47" t="s">
        <v>254</v>
      </c>
      <c r="F47">
        <v>0</v>
      </c>
      <c r="H47" s="2" t="s">
        <v>265</v>
      </c>
      <c r="I47" s="2">
        <f t="shared" si="6"/>
        <v>0</v>
      </c>
      <c r="J47" s="2">
        <f t="shared" si="6"/>
        <v>0</v>
      </c>
      <c r="K47" s="2">
        <f t="shared" si="6"/>
        <v>0</v>
      </c>
      <c r="P47"/>
      <c r="Q47" s="33" t="s">
        <v>265</v>
      </c>
      <c r="R47" s="33">
        <f t="shared" si="2"/>
        <v>0</v>
      </c>
      <c r="S47" s="33">
        <f t="shared" si="3"/>
        <v>0</v>
      </c>
      <c r="U47" s="68">
        <f t="shared" si="7"/>
        <v>0</v>
      </c>
      <c r="V47" s="68">
        <f t="shared" si="5"/>
        <v>0</v>
      </c>
      <c r="AE47" s="1" cm="1">
        <f t="array" ref="AE47">SUM(IF(FREQUENCY(IF($E$2:$E$557=H47, MATCH($A$2:$A$557, $A$2:$A$557, 0)), ROW($A$2:$A$557)-ROW($A$2)+1), 1))</f>
        <v>0</v>
      </c>
      <c r="AG47" s="1" t="str">
        <v>DPLUS113</v>
      </c>
      <c r="AH47" s="1">
        <v>8</v>
      </c>
      <c r="AI47" s="1">
        <v>2021</v>
      </c>
      <c r="AJ47" s="1" t="str">
        <v>Y1</v>
      </c>
      <c r="AK47" s="1" t="str">
        <v>DPLUS-C19</v>
      </c>
      <c r="AL47" s="1">
        <v>0</v>
      </c>
    </row>
    <row r="48" spans="1:38" ht="16.5" x14ac:dyDescent="0.3">
      <c r="A48" t="s">
        <v>825</v>
      </c>
      <c r="B48">
        <v>8</v>
      </c>
      <c r="C48">
        <v>2022</v>
      </c>
      <c r="D48" t="s">
        <v>823</v>
      </c>
      <c r="E48" t="s">
        <v>254</v>
      </c>
      <c r="F48">
        <v>0</v>
      </c>
      <c r="H48" s="31" t="s">
        <v>267</v>
      </c>
      <c r="I48" s="31">
        <f t="shared" si="6"/>
        <v>0</v>
      </c>
      <c r="J48" s="31">
        <f t="shared" si="6"/>
        <v>0</v>
      </c>
      <c r="K48" s="31">
        <f t="shared" si="6"/>
        <v>0</v>
      </c>
      <c r="P48"/>
      <c r="Q48" s="63" t="s">
        <v>267</v>
      </c>
      <c r="R48" s="63">
        <f t="shared" si="2"/>
        <v>0</v>
      </c>
      <c r="S48" s="63">
        <f t="shared" si="3"/>
        <v>0</v>
      </c>
      <c r="U48" s="68">
        <f t="shared" si="7"/>
        <v>0</v>
      </c>
      <c r="V48" s="68">
        <f t="shared" si="5"/>
        <v>0</v>
      </c>
      <c r="AE48" s="1" cm="1">
        <f t="array" ref="AE48">SUM(IF(FREQUENCY(IF($E$2:$E$557=H48, MATCH($A$2:$A$557, $A$2:$A$557, 0)), ROW($A$2:$A$557)-ROW($A$2)+1), 1))</f>
        <v>0</v>
      </c>
      <c r="AG48" s="1" t="str">
        <v>DPLUS113</v>
      </c>
      <c r="AH48" s="1">
        <v>8</v>
      </c>
      <c r="AI48" s="1">
        <v>2022</v>
      </c>
      <c r="AJ48" s="1" t="str">
        <v>Y2</v>
      </c>
      <c r="AK48" s="1" t="str">
        <v>DPLUS-C19</v>
      </c>
      <c r="AL48" s="1">
        <v>0</v>
      </c>
    </row>
    <row r="49" spans="1:38" ht="16.5" x14ac:dyDescent="0.3">
      <c r="A49" t="s">
        <v>825</v>
      </c>
      <c r="B49">
        <v>8</v>
      </c>
      <c r="C49">
        <v>2023</v>
      </c>
      <c r="D49" t="s">
        <v>824</v>
      </c>
      <c r="E49" t="s">
        <v>254</v>
      </c>
      <c r="F49">
        <v>2</v>
      </c>
      <c r="H49" s="2" t="s">
        <v>269</v>
      </c>
      <c r="I49" s="2">
        <f t="shared" si="6"/>
        <v>0</v>
      </c>
      <c r="J49" s="2">
        <f t="shared" si="6"/>
        <v>0</v>
      </c>
      <c r="K49" s="2">
        <f t="shared" si="6"/>
        <v>0</v>
      </c>
      <c r="P49"/>
      <c r="Q49" s="33" t="s">
        <v>269</v>
      </c>
      <c r="R49" s="33">
        <f t="shared" si="2"/>
        <v>0</v>
      </c>
      <c r="S49" s="33">
        <f t="shared" si="3"/>
        <v>0</v>
      </c>
      <c r="U49" s="68">
        <f t="shared" si="7"/>
        <v>0</v>
      </c>
      <c r="V49" s="68">
        <f t="shared" si="5"/>
        <v>0</v>
      </c>
      <c r="AE49" s="1" cm="1">
        <f t="array" ref="AE49">SUM(IF(FREQUENCY(IF($E$2:$E$557=H49, MATCH($A$2:$A$557, $A$2:$A$557, 0)), ROW($A$2:$A$557)-ROW($A$2)+1), 1))</f>
        <v>0</v>
      </c>
      <c r="AG49" s="1" t="str">
        <v>DPLUS113</v>
      </c>
      <c r="AH49" s="1">
        <v>8</v>
      </c>
      <c r="AI49" s="1">
        <v>2023</v>
      </c>
      <c r="AJ49" s="1" t="str">
        <v>Y3</v>
      </c>
      <c r="AK49" s="1" t="str">
        <v>DPLUS-C19</v>
      </c>
      <c r="AL49" s="1">
        <v>2</v>
      </c>
    </row>
    <row r="50" spans="1:38" ht="16.5" x14ac:dyDescent="0.3">
      <c r="A50" t="s">
        <v>825</v>
      </c>
      <c r="B50">
        <v>8</v>
      </c>
      <c r="C50">
        <v>2021</v>
      </c>
      <c r="D50" t="s">
        <v>822</v>
      </c>
      <c r="E50" t="s">
        <v>257</v>
      </c>
      <c r="F50">
        <v>0</v>
      </c>
      <c r="H50" s="31" t="s">
        <v>271</v>
      </c>
      <c r="I50" s="31">
        <f t="shared" si="6"/>
        <v>0</v>
      </c>
      <c r="J50" s="31">
        <f t="shared" si="6"/>
        <v>0</v>
      </c>
      <c r="K50" s="31">
        <f t="shared" si="6"/>
        <v>0</v>
      </c>
      <c r="P50"/>
      <c r="Q50" s="63" t="s">
        <v>271</v>
      </c>
      <c r="R50" s="63">
        <f t="shared" si="2"/>
        <v>0</v>
      </c>
      <c r="S50" s="63">
        <f t="shared" si="3"/>
        <v>0</v>
      </c>
      <c r="U50" s="68">
        <f t="shared" si="7"/>
        <v>0</v>
      </c>
      <c r="V50" s="68">
        <f t="shared" si="5"/>
        <v>0</v>
      </c>
      <c r="AE50" s="1" cm="1">
        <f t="array" ref="AE50">SUM(IF(FREQUENCY(IF($E$2:$E$557=H50, MATCH($A$2:$A$557, $A$2:$A$557, 0)), ROW($A$2:$A$557)-ROW($A$2)+1), 1))</f>
        <v>0</v>
      </c>
      <c r="AG50" s="1" t="str">
        <v>DPLUS113</v>
      </c>
      <c r="AH50" s="1">
        <v>8</v>
      </c>
      <c r="AI50" s="1">
        <v>2021</v>
      </c>
      <c r="AJ50" s="1" t="str">
        <v>Y1</v>
      </c>
      <c r="AK50" s="1" t="str">
        <v>DPLUS-D01</v>
      </c>
      <c r="AL50" s="1">
        <v>0</v>
      </c>
    </row>
    <row r="51" spans="1:38" ht="16.5" x14ac:dyDescent="0.3">
      <c r="A51" t="s">
        <v>825</v>
      </c>
      <c r="B51">
        <v>8</v>
      </c>
      <c r="C51">
        <v>2022</v>
      </c>
      <c r="D51" t="s">
        <v>823</v>
      </c>
      <c r="E51" t="s">
        <v>257</v>
      </c>
      <c r="F51">
        <v>0</v>
      </c>
      <c r="H51" s="2" t="s">
        <v>273</v>
      </c>
      <c r="I51" s="2">
        <f t="shared" si="6"/>
        <v>0</v>
      </c>
      <c r="J51" s="2">
        <f t="shared" si="6"/>
        <v>0</v>
      </c>
      <c r="K51" s="2">
        <f t="shared" si="6"/>
        <v>0</v>
      </c>
      <c r="P51"/>
      <c r="Q51" s="33" t="s">
        <v>273</v>
      </c>
      <c r="R51" s="33">
        <f t="shared" si="2"/>
        <v>0</v>
      </c>
      <c r="S51" s="33">
        <f t="shared" si="3"/>
        <v>0</v>
      </c>
      <c r="U51" s="68">
        <f t="shared" si="7"/>
        <v>0</v>
      </c>
      <c r="V51" s="68">
        <f t="shared" si="5"/>
        <v>0</v>
      </c>
      <c r="AE51" s="1" cm="1">
        <f t="array" ref="AE51">SUM(IF(FREQUENCY(IF($E$2:$E$557=H51, MATCH($A$2:$A$557, $A$2:$A$557, 0)), ROW($A$2:$A$557)-ROW($A$2)+1), 1))</f>
        <v>0</v>
      </c>
      <c r="AG51" s="1" t="str">
        <v>DPLUS113</v>
      </c>
      <c r="AH51" s="1">
        <v>8</v>
      </c>
      <c r="AI51" s="1">
        <v>2022</v>
      </c>
      <c r="AJ51" s="1" t="str">
        <v>Y2</v>
      </c>
      <c r="AK51" s="1" t="str">
        <v>DPLUS-D01</v>
      </c>
      <c r="AL51" s="1">
        <v>0</v>
      </c>
    </row>
    <row r="52" spans="1:38" ht="16.5" x14ac:dyDescent="0.3">
      <c r="A52" t="s">
        <v>825</v>
      </c>
      <c r="B52">
        <v>8</v>
      </c>
      <c r="C52">
        <v>2023</v>
      </c>
      <c r="D52" t="s">
        <v>824</v>
      </c>
      <c r="E52" t="s">
        <v>257</v>
      </c>
      <c r="F52">
        <v>20.56</v>
      </c>
      <c r="H52" s="31" t="s">
        <v>275</v>
      </c>
      <c r="I52" s="31">
        <f t="shared" si="6"/>
        <v>0</v>
      </c>
      <c r="J52" s="31">
        <f t="shared" si="6"/>
        <v>0</v>
      </c>
      <c r="K52" s="31">
        <f t="shared" si="6"/>
        <v>0</v>
      </c>
      <c r="P52"/>
      <c r="Q52" s="63" t="s">
        <v>275</v>
      </c>
      <c r="R52" s="63">
        <f t="shared" si="2"/>
        <v>0</v>
      </c>
      <c r="S52" s="63">
        <f t="shared" si="3"/>
        <v>0</v>
      </c>
      <c r="U52" s="68">
        <f t="shared" si="7"/>
        <v>0</v>
      </c>
      <c r="V52" s="68">
        <f t="shared" si="5"/>
        <v>0</v>
      </c>
      <c r="AE52" s="1" cm="1">
        <f t="array" ref="AE52">SUM(IF(FREQUENCY(IF($E$2:$E$557=H52, MATCH($A$2:$A$557, $A$2:$A$557, 0)), ROW($A$2:$A$557)-ROW($A$2)+1), 1))</f>
        <v>0</v>
      </c>
      <c r="AG52" s="1" t="str">
        <v>DPLUS113</v>
      </c>
      <c r="AH52" s="1">
        <v>8</v>
      </c>
      <c r="AI52" s="1">
        <v>2023</v>
      </c>
      <c r="AJ52" s="1" t="str">
        <v>Y3</v>
      </c>
      <c r="AK52" s="1" t="str">
        <v>DPLUS-D01</v>
      </c>
      <c r="AL52" s="1">
        <v>20.56</v>
      </c>
    </row>
    <row r="53" spans="1:38" ht="16.5" x14ac:dyDescent="0.3">
      <c r="A53" t="s">
        <v>305</v>
      </c>
      <c r="B53">
        <v>8</v>
      </c>
      <c r="C53">
        <v>2023</v>
      </c>
      <c r="D53" t="s">
        <v>822</v>
      </c>
      <c r="E53" t="s">
        <v>164</v>
      </c>
      <c r="F53">
        <v>4</v>
      </c>
      <c r="H53" s="2" t="s">
        <v>277</v>
      </c>
      <c r="I53" s="2">
        <f t="shared" si="6"/>
        <v>0</v>
      </c>
      <c r="J53" s="2">
        <f t="shared" si="6"/>
        <v>0</v>
      </c>
      <c r="K53" s="2">
        <f t="shared" si="6"/>
        <v>0</v>
      </c>
      <c r="P53"/>
      <c r="Q53" s="33" t="s">
        <v>277</v>
      </c>
      <c r="R53" s="33">
        <f t="shared" si="2"/>
        <v>0</v>
      </c>
      <c r="S53" s="33">
        <f t="shared" si="3"/>
        <v>0</v>
      </c>
      <c r="U53" s="68">
        <f t="shared" si="7"/>
        <v>0</v>
      </c>
      <c r="V53" s="68">
        <f t="shared" si="5"/>
        <v>0</v>
      </c>
      <c r="AE53" s="1" cm="1">
        <f t="array" ref="AE53">SUM(IF(FREQUENCY(IF($E$2:$E$557=H53, MATCH($A$2:$A$557, $A$2:$A$557, 0)), ROW($A$2:$A$557)-ROW($A$2)+1), 1))</f>
        <v>1</v>
      </c>
      <c r="AG53" s="1" t="str">
        <v>DPLUS114</v>
      </c>
      <c r="AH53" s="1">
        <v>8</v>
      </c>
      <c r="AI53" s="1">
        <v>2023</v>
      </c>
      <c r="AJ53" s="1" t="str">
        <v>Y1</v>
      </c>
      <c r="AK53" s="1" t="str">
        <v>DPLUS-A01</v>
      </c>
      <c r="AL53" s="1">
        <v>4</v>
      </c>
    </row>
    <row r="54" spans="1:38" ht="16.5" x14ac:dyDescent="0.3">
      <c r="A54" t="s">
        <v>305</v>
      </c>
      <c r="B54">
        <v>8</v>
      </c>
      <c r="C54">
        <v>2024</v>
      </c>
      <c r="D54" t="s">
        <v>823</v>
      </c>
      <c r="E54" t="s">
        <v>164</v>
      </c>
      <c r="F54">
        <v>0</v>
      </c>
      <c r="H54" s="31" t="s">
        <v>279</v>
      </c>
      <c r="I54" s="31">
        <f t="shared" si="6"/>
        <v>0</v>
      </c>
      <c r="J54" s="31">
        <f t="shared" si="6"/>
        <v>1.08</v>
      </c>
      <c r="K54" s="31">
        <f t="shared" si="6"/>
        <v>214</v>
      </c>
      <c r="P54"/>
      <c r="Q54" s="63" t="s">
        <v>279</v>
      </c>
      <c r="R54" s="63">
        <f t="shared" si="2"/>
        <v>1.08</v>
      </c>
      <c r="S54" s="63">
        <f t="shared" si="3"/>
        <v>214</v>
      </c>
      <c r="U54" s="68">
        <f t="shared" si="7"/>
        <v>1.08</v>
      </c>
      <c r="V54" s="68">
        <f t="shared" si="5"/>
        <v>214</v>
      </c>
      <c r="AE54" s="1" cm="1">
        <f t="array" ref="AE54">SUM(IF(FREQUENCY(IF($E$2:$E$557=H54, MATCH($A$2:$A$557, $A$2:$A$557, 0)), ROW($A$2:$A$557)-ROW($A$2)+1), 1))</f>
        <v>4</v>
      </c>
      <c r="AG54" s="1" t="str">
        <v>DPLUS114</v>
      </c>
      <c r="AH54" s="1">
        <v>8</v>
      </c>
      <c r="AI54" s="1">
        <v>2024</v>
      </c>
      <c r="AJ54" s="1" t="str">
        <v>Y2</v>
      </c>
      <c r="AK54" s="1" t="str">
        <v>DPLUS-A01</v>
      </c>
      <c r="AL54" s="1">
        <v>0</v>
      </c>
    </row>
    <row r="55" spans="1:38" ht="16.5" x14ac:dyDescent="0.3">
      <c r="A55" t="s">
        <v>305</v>
      </c>
      <c r="B55">
        <v>8</v>
      </c>
      <c r="C55">
        <v>2023</v>
      </c>
      <c r="D55" t="s">
        <v>822</v>
      </c>
      <c r="E55" t="s">
        <v>179</v>
      </c>
      <c r="F55">
        <v>0</v>
      </c>
      <c r="H55" s="2" t="s">
        <v>281</v>
      </c>
      <c r="I55" s="2">
        <f t="shared" si="6"/>
        <v>0</v>
      </c>
      <c r="J55" s="2">
        <f t="shared" si="6"/>
        <v>0</v>
      </c>
      <c r="K55" s="2">
        <f t="shared" si="6"/>
        <v>0</v>
      </c>
      <c r="P55"/>
      <c r="Q55" s="33" t="s">
        <v>281</v>
      </c>
      <c r="R55" s="33">
        <f t="shared" si="2"/>
        <v>0</v>
      </c>
      <c r="S55" s="33">
        <f t="shared" si="3"/>
        <v>0</v>
      </c>
      <c r="U55" s="68">
        <f t="shared" si="7"/>
        <v>0</v>
      </c>
      <c r="V55" s="68">
        <f t="shared" si="5"/>
        <v>0</v>
      </c>
      <c r="AE55" s="1" cm="1">
        <f t="array" ref="AE55">SUM(IF(FREQUENCY(IF($E$2:$E$557=H55, MATCH($A$2:$A$557, $A$2:$A$557, 0)), ROW($A$2:$A$557)-ROW($A$2)+1), 1))</f>
        <v>0</v>
      </c>
      <c r="AG55" s="1" t="str">
        <v>DPLUS114</v>
      </c>
      <c r="AH55" s="1">
        <v>8</v>
      </c>
      <c r="AI55" s="1">
        <v>2023</v>
      </c>
      <c r="AJ55" s="1" t="str">
        <v>Y1</v>
      </c>
      <c r="AK55" s="1" t="str">
        <v>DPLUS-A07</v>
      </c>
      <c r="AL55" s="1">
        <v>0</v>
      </c>
    </row>
    <row r="56" spans="1:38" ht="16.5" x14ac:dyDescent="0.3">
      <c r="A56" t="s">
        <v>305</v>
      </c>
      <c r="B56">
        <v>8</v>
      </c>
      <c r="C56">
        <v>2024</v>
      </c>
      <c r="D56" t="s">
        <v>823</v>
      </c>
      <c r="E56" t="s">
        <v>179</v>
      </c>
      <c r="F56">
        <v>0</v>
      </c>
      <c r="H56" s="31" t="s">
        <v>283</v>
      </c>
      <c r="I56" s="31">
        <f t="shared" si="6"/>
        <v>0</v>
      </c>
      <c r="J56" s="31">
        <f t="shared" si="6"/>
        <v>0</v>
      </c>
      <c r="K56" s="31">
        <f t="shared" si="6"/>
        <v>0</v>
      </c>
      <c r="P56"/>
      <c r="Q56" s="63" t="s">
        <v>283</v>
      </c>
      <c r="R56" s="63">
        <f t="shared" si="2"/>
        <v>0</v>
      </c>
      <c r="S56" s="63">
        <f t="shared" si="3"/>
        <v>0</v>
      </c>
      <c r="U56" s="68">
        <f t="shared" si="7"/>
        <v>0</v>
      </c>
      <c r="V56" s="68">
        <f t="shared" si="5"/>
        <v>0</v>
      </c>
      <c r="AE56" s="1" cm="1">
        <f t="array" ref="AE56">SUM(IF(FREQUENCY(IF($E$2:$E$557=H56, MATCH($A$2:$A$557, $A$2:$A$557, 0)), ROW($A$2:$A$557)-ROW($A$2)+1), 1))</f>
        <v>0</v>
      </c>
      <c r="AG56" s="1" t="str">
        <v>DPLUS114</v>
      </c>
      <c r="AH56" s="1">
        <v>8</v>
      </c>
      <c r="AI56" s="1">
        <v>2024</v>
      </c>
      <c r="AJ56" s="1" t="str">
        <v>Y2</v>
      </c>
      <c r="AK56" s="1" t="str">
        <v>DPLUS-A07</v>
      </c>
      <c r="AL56" s="1">
        <v>0</v>
      </c>
    </row>
    <row r="57" spans="1:38" ht="16.5" x14ac:dyDescent="0.3">
      <c r="A57" t="s">
        <v>305</v>
      </c>
      <c r="B57">
        <v>8</v>
      </c>
      <c r="C57">
        <v>2023</v>
      </c>
      <c r="D57" t="s">
        <v>822</v>
      </c>
      <c r="E57" t="s">
        <v>217</v>
      </c>
      <c r="F57">
        <v>0</v>
      </c>
      <c r="H57" s="2" t="s">
        <v>285</v>
      </c>
      <c r="I57" s="2">
        <f t="shared" si="6"/>
        <v>0</v>
      </c>
      <c r="J57" s="2">
        <f t="shared" si="6"/>
        <v>0</v>
      </c>
      <c r="K57" s="2">
        <f t="shared" si="6"/>
        <v>0</v>
      </c>
      <c r="P57"/>
      <c r="Q57" s="33" t="s">
        <v>285</v>
      </c>
      <c r="R57" s="33">
        <f t="shared" si="2"/>
        <v>0</v>
      </c>
      <c r="S57" s="33">
        <f t="shared" si="3"/>
        <v>0</v>
      </c>
      <c r="U57" s="68">
        <f t="shared" si="7"/>
        <v>0</v>
      </c>
      <c r="V57" s="68">
        <f t="shared" si="5"/>
        <v>0</v>
      </c>
      <c r="AE57" s="1" cm="1">
        <f t="array" ref="AE57">SUM(IF(FREQUENCY(IF($E$2:$E$557=H57, MATCH($A$2:$A$557, $A$2:$A$557, 0)), ROW($A$2:$A$557)-ROW($A$2)+1), 1))</f>
        <v>0</v>
      </c>
      <c r="AG57" s="1" t="str">
        <v>DPLUS114</v>
      </c>
      <c r="AH57" s="1">
        <v>8</v>
      </c>
      <c r="AI57" s="1">
        <v>2023</v>
      </c>
      <c r="AJ57" s="1" t="str">
        <v>Y1</v>
      </c>
      <c r="AK57" s="1" t="str">
        <v>DPLUS-C02</v>
      </c>
      <c r="AL57" s="1">
        <v>0</v>
      </c>
    </row>
    <row r="58" spans="1:38" ht="16.5" x14ac:dyDescent="0.3">
      <c r="A58" t="s">
        <v>305</v>
      </c>
      <c r="B58">
        <v>8</v>
      </c>
      <c r="C58">
        <v>2024</v>
      </c>
      <c r="D58" t="s">
        <v>823</v>
      </c>
      <c r="E58" t="s">
        <v>217</v>
      </c>
      <c r="F58">
        <v>128</v>
      </c>
      <c r="H58" s="31" t="s">
        <v>287</v>
      </c>
      <c r="I58" s="31">
        <f t="shared" si="6"/>
        <v>0</v>
      </c>
      <c r="J58" s="31">
        <f t="shared" si="6"/>
        <v>0</v>
      </c>
      <c r="K58" s="31">
        <f t="shared" si="6"/>
        <v>0</v>
      </c>
      <c r="P58"/>
      <c r="Q58" s="63" t="s">
        <v>287</v>
      </c>
      <c r="R58" s="63">
        <f t="shared" si="2"/>
        <v>0</v>
      </c>
      <c r="S58" s="63">
        <f t="shared" si="3"/>
        <v>0</v>
      </c>
      <c r="U58" s="68">
        <f t="shared" si="7"/>
        <v>0</v>
      </c>
      <c r="V58" s="68">
        <f t="shared" si="5"/>
        <v>0</v>
      </c>
      <c r="AE58" s="1" cm="1">
        <f t="array" ref="AE58">SUM(IF(FREQUENCY(IF($E$2:$E$557=H58, MATCH($A$2:$A$557, $A$2:$A$557, 0)), ROW($A$2:$A$557)-ROW($A$2)+1), 1))</f>
        <v>1</v>
      </c>
      <c r="AG58" s="1" t="str">
        <v>DPLUS114</v>
      </c>
      <c r="AH58" s="1">
        <v>8</v>
      </c>
      <c r="AI58" s="1">
        <v>2024</v>
      </c>
      <c r="AJ58" s="1" t="str">
        <v>Y2</v>
      </c>
      <c r="AK58" s="1" t="str">
        <v>DPLUS-C02</v>
      </c>
      <c r="AL58" s="1">
        <v>128</v>
      </c>
    </row>
    <row r="59" spans="1:38" ht="16.5" x14ac:dyDescent="0.3">
      <c r="A59" t="s">
        <v>305</v>
      </c>
      <c r="B59">
        <v>8</v>
      </c>
      <c r="C59">
        <v>2023</v>
      </c>
      <c r="D59" t="s">
        <v>822</v>
      </c>
      <c r="E59" t="s">
        <v>230</v>
      </c>
      <c r="F59">
        <v>0</v>
      </c>
      <c r="H59" s="2" t="s">
        <v>290</v>
      </c>
      <c r="I59" s="2">
        <f t="shared" si="6"/>
        <v>0</v>
      </c>
      <c r="J59" s="2">
        <f t="shared" si="6"/>
        <v>0</v>
      </c>
      <c r="K59" s="2">
        <f t="shared" si="6"/>
        <v>0</v>
      </c>
      <c r="P59"/>
      <c r="Q59" s="33" t="s">
        <v>290</v>
      </c>
      <c r="R59" s="33">
        <f t="shared" si="2"/>
        <v>0</v>
      </c>
      <c r="S59" s="33">
        <f t="shared" si="3"/>
        <v>0</v>
      </c>
      <c r="U59" s="68">
        <f t="shared" si="7"/>
        <v>0</v>
      </c>
      <c r="V59" s="68">
        <f t="shared" si="5"/>
        <v>0</v>
      </c>
      <c r="AE59" s="1" cm="1">
        <f t="array" ref="AE59">SUM(IF(FREQUENCY(IF($E$2:$E$557=H59, MATCH($A$2:$A$557, $A$2:$A$557, 0)), ROW($A$2:$A$557)-ROW($A$2)+1), 1))</f>
        <v>0</v>
      </c>
      <c r="AG59" s="1" t="str">
        <v>DPLUS114</v>
      </c>
      <c r="AH59" s="1">
        <v>8</v>
      </c>
      <c r="AI59" s="1">
        <v>2023</v>
      </c>
      <c r="AJ59" s="1" t="str">
        <v>Y1</v>
      </c>
      <c r="AK59" s="1" t="str">
        <v>DPLUS-C08</v>
      </c>
      <c r="AL59" s="1">
        <v>0</v>
      </c>
    </row>
    <row r="60" spans="1:38" ht="16.5" x14ac:dyDescent="0.3">
      <c r="A60" t="s">
        <v>305</v>
      </c>
      <c r="B60">
        <v>8</v>
      </c>
      <c r="C60">
        <v>2024</v>
      </c>
      <c r="D60" t="s">
        <v>823</v>
      </c>
      <c r="E60" t="s">
        <v>230</v>
      </c>
      <c r="F60">
        <v>0</v>
      </c>
      <c r="H60" s="31" t="s">
        <v>292</v>
      </c>
      <c r="I60" s="31">
        <f t="shared" si="6"/>
        <v>0</v>
      </c>
      <c r="J60" s="31">
        <f t="shared" si="6"/>
        <v>0</v>
      </c>
      <c r="K60" s="31">
        <f t="shared" si="6"/>
        <v>0</v>
      </c>
      <c r="P60"/>
      <c r="Q60" s="63" t="s">
        <v>292</v>
      </c>
      <c r="R60" s="63">
        <f t="shared" si="2"/>
        <v>0</v>
      </c>
      <c r="S60" s="63">
        <f t="shared" si="3"/>
        <v>0</v>
      </c>
      <c r="U60" s="68">
        <f t="shared" si="7"/>
        <v>0</v>
      </c>
      <c r="V60" s="68">
        <f t="shared" si="5"/>
        <v>0</v>
      </c>
      <c r="AE60" s="1" cm="1">
        <f t="array" ref="AE60">SUM(IF(FREQUENCY(IF($E$2:$E$557=H60, MATCH($A$2:$A$557, $A$2:$A$557, 0)), ROW($A$2:$A$557)-ROW($A$2)+1), 1))</f>
        <v>0</v>
      </c>
      <c r="AG60" s="1" t="str">
        <v>DPLUS114</v>
      </c>
      <c r="AH60" s="1">
        <v>8</v>
      </c>
      <c r="AI60" s="1">
        <v>2024</v>
      </c>
      <c r="AJ60" s="1" t="str">
        <v>Y2</v>
      </c>
      <c r="AK60" s="1" t="str">
        <v>DPLUS-C08</v>
      </c>
      <c r="AL60" s="1">
        <v>0</v>
      </c>
    </row>
    <row r="61" spans="1:38" ht="16.5" x14ac:dyDescent="0.3">
      <c r="A61" t="s">
        <v>305</v>
      </c>
      <c r="B61">
        <v>8</v>
      </c>
      <c r="C61">
        <v>2023</v>
      </c>
      <c r="D61" t="s">
        <v>822</v>
      </c>
      <c r="E61" t="s">
        <v>245</v>
      </c>
      <c r="F61">
        <v>2</v>
      </c>
      <c r="H61" s="2" t="s">
        <v>294</v>
      </c>
      <c r="I61" s="2">
        <f t="shared" si="6"/>
        <v>0</v>
      </c>
      <c r="J61" s="2">
        <f t="shared" si="6"/>
        <v>0</v>
      </c>
      <c r="K61" s="2">
        <f t="shared" si="6"/>
        <v>0</v>
      </c>
      <c r="P61"/>
      <c r="Q61" s="33" t="s">
        <v>294</v>
      </c>
      <c r="R61" s="33">
        <f t="shared" si="2"/>
        <v>0</v>
      </c>
      <c r="S61" s="33">
        <f t="shared" si="3"/>
        <v>0</v>
      </c>
      <c r="U61" s="68">
        <f t="shared" si="7"/>
        <v>0</v>
      </c>
      <c r="V61" s="68">
        <f t="shared" si="5"/>
        <v>0</v>
      </c>
      <c r="AE61" s="1" cm="1">
        <f t="array" ref="AE61">SUM(IF(FREQUENCY(IF($E$2:$E$557=H61, MATCH($A$2:$A$557, $A$2:$A$557, 0)), ROW($A$2:$A$557)-ROW($A$2)+1), 1))</f>
        <v>2</v>
      </c>
      <c r="AF61" s="1" cm="1">
        <f t="array" ref="AF61">SUM(IF(FREQUENCY(IF($E$2:$E$557=I61, MATCH($A$2:$A$557, $A$2:$A$557, 0)), ROW($A$2:$A$557)-ROW($A$2)+1), 1))</f>
        <v>0</v>
      </c>
      <c r="AG61" s="1" t="str">
        <v>DPLUS114</v>
      </c>
      <c r="AH61" s="1">
        <v>8</v>
      </c>
      <c r="AI61" s="1">
        <v>2023</v>
      </c>
      <c r="AJ61" s="1" t="str">
        <v>Y1</v>
      </c>
      <c r="AK61" s="1" t="str">
        <v>DPLUS-C15</v>
      </c>
      <c r="AL61" s="1">
        <v>2</v>
      </c>
    </row>
    <row r="62" spans="1:38" ht="15" x14ac:dyDescent="0.25">
      <c r="A62" t="s">
        <v>305</v>
      </c>
      <c r="B62">
        <v>8</v>
      </c>
      <c r="C62">
        <v>2024</v>
      </c>
      <c r="D62" t="s">
        <v>823</v>
      </c>
      <c r="E62" t="s">
        <v>245</v>
      </c>
      <c r="F62">
        <v>0</v>
      </c>
      <c r="P62"/>
      <c r="Q62"/>
      <c r="AG62" s="1" t="str">
        <v>DPLUS114</v>
      </c>
      <c r="AH62" s="1">
        <v>8</v>
      </c>
      <c r="AI62" s="1">
        <v>2024</v>
      </c>
      <c r="AJ62" s="1" t="str">
        <v>Y2</v>
      </c>
      <c r="AK62" s="1" t="str">
        <v>DPLUS-C15</v>
      </c>
      <c r="AL62" s="1">
        <v>0</v>
      </c>
    </row>
    <row r="63" spans="1:38" ht="15" x14ac:dyDescent="0.25">
      <c r="A63" t="s">
        <v>305</v>
      </c>
      <c r="B63">
        <v>8</v>
      </c>
      <c r="C63">
        <v>2023</v>
      </c>
      <c r="D63" t="s">
        <v>822</v>
      </c>
      <c r="E63" t="s">
        <v>247</v>
      </c>
      <c r="F63">
        <v>0</v>
      </c>
      <c r="P63"/>
      <c r="Q63"/>
      <c r="AG63" s="1" t="str">
        <v>DPLUS114</v>
      </c>
      <c r="AH63" s="1">
        <v>8</v>
      </c>
      <c r="AI63" s="1">
        <v>2023</v>
      </c>
      <c r="AJ63" s="1" t="str">
        <v>Y1</v>
      </c>
      <c r="AK63" s="1" t="str">
        <v>DPLUS-C16</v>
      </c>
      <c r="AL63" s="1">
        <v>0</v>
      </c>
    </row>
    <row r="64" spans="1:38" ht="15" x14ac:dyDescent="0.25">
      <c r="A64" t="s">
        <v>305</v>
      </c>
      <c r="B64">
        <v>8</v>
      </c>
      <c r="C64">
        <v>2024</v>
      </c>
      <c r="D64" t="s">
        <v>823</v>
      </c>
      <c r="E64" t="s">
        <v>247</v>
      </c>
      <c r="F64">
        <v>0</v>
      </c>
      <c r="P64"/>
      <c r="Q64"/>
      <c r="AG64" s="1" t="str">
        <v>DPLUS114</v>
      </c>
      <c r="AH64" s="1">
        <v>8</v>
      </c>
      <c r="AI64" s="1">
        <v>2024</v>
      </c>
      <c r="AJ64" s="1" t="str">
        <v>Y2</v>
      </c>
      <c r="AK64" s="1" t="str">
        <v>DPLUS-C16</v>
      </c>
      <c r="AL64" s="1">
        <v>0</v>
      </c>
    </row>
    <row r="65" spans="1:38" ht="15" x14ac:dyDescent="0.25">
      <c r="A65" t="s">
        <v>305</v>
      </c>
      <c r="B65">
        <v>8</v>
      </c>
      <c r="C65">
        <v>2023</v>
      </c>
      <c r="D65" t="s">
        <v>822</v>
      </c>
      <c r="E65" t="s">
        <v>254</v>
      </c>
      <c r="F65">
        <v>0</v>
      </c>
      <c r="P65"/>
      <c r="Q65"/>
      <c r="AG65" s="1" t="str">
        <v>DPLUS114</v>
      </c>
      <c r="AH65" s="1">
        <v>8</v>
      </c>
      <c r="AI65" s="1">
        <v>2023</v>
      </c>
      <c r="AJ65" s="1" t="str">
        <v>Y1</v>
      </c>
      <c r="AK65" s="1" t="str">
        <v>DPLUS-C19</v>
      </c>
      <c r="AL65" s="1">
        <v>0</v>
      </c>
    </row>
    <row r="66" spans="1:38" ht="15" x14ac:dyDescent="0.25">
      <c r="A66" t="s">
        <v>305</v>
      </c>
      <c r="B66">
        <v>8</v>
      </c>
      <c r="C66">
        <v>2024</v>
      </c>
      <c r="D66" t="s">
        <v>823</v>
      </c>
      <c r="E66" t="s">
        <v>254</v>
      </c>
      <c r="F66">
        <v>0</v>
      </c>
      <c r="P66"/>
      <c r="Q66"/>
      <c r="AG66" s="1" t="str">
        <v>DPLUS114</v>
      </c>
      <c r="AH66" s="1">
        <v>8</v>
      </c>
      <c r="AI66" s="1">
        <v>2024</v>
      </c>
      <c r="AJ66" s="1" t="str">
        <v>Y2</v>
      </c>
      <c r="AK66" s="1" t="str">
        <v>DPLUS-C19</v>
      </c>
      <c r="AL66" s="1">
        <v>0</v>
      </c>
    </row>
    <row r="67" spans="1:38" ht="15" x14ac:dyDescent="0.25">
      <c r="A67" t="s">
        <v>60</v>
      </c>
      <c r="B67">
        <v>8</v>
      </c>
      <c r="C67">
        <v>2021</v>
      </c>
      <c r="D67" t="s">
        <v>822</v>
      </c>
      <c r="E67" t="s">
        <v>164</v>
      </c>
      <c r="F67">
        <v>4</v>
      </c>
      <c r="P67"/>
      <c r="Q67"/>
      <c r="AG67" s="1" t="str">
        <v>DPLUS118</v>
      </c>
      <c r="AH67" s="1">
        <v>8</v>
      </c>
      <c r="AI67" s="1">
        <v>2021</v>
      </c>
      <c r="AJ67" s="1" t="str">
        <v>Y1</v>
      </c>
      <c r="AK67" s="1" t="str">
        <v>DPLUS-A01</v>
      </c>
      <c r="AL67" s="1">
        <v>4</v>
      </c>
    </row>
    <row r="68" spans="1:38" ht="15" x14ac:dyDescent="0.25">
      <c r="A68" t="s">
        <v>60</v>
      </c>
      <c r="B68">
        <v>8</v>
      </c>
      <c r="C68">
        <v>2022</v>
      </c>
      <c r="D68" t="s">
        <v>823</v>
      </c>
      <c r="E68" t="s">
        <v>164</v>
      </c>
      <c r="F68">
        <v>1</v>
      </c>
      <c r="P68"/>
      <c r="Q68"/>
      <c r="AG68" s="1" t="str">
        <v>DPLUS118</v>
      </c>
      <c r="AH68" s="1">
        <v>8</v>
      </c>
      <c r="AI68" s="1">
        <v>2022</v>
      </c>
      <c r="AJ68" s="1" t="str">
        <v>Y2</v>
      </c>
      <c r="AK68" s="1" t="str">
        <v>DPLUS-A01</v>
      </c>
      <c r="AL68" s="1">
        <v>1</v>
      </c>
    </row>
    <row r="69" spans="1:38" ht="15" x14ac:dyDescent="0.25">
      <c r="A69" t="s">
        <v>60</v>
      </c>
      <c r="B69">
        <v>8</v>
      </c>
      <c r="C69">
        <v>2023</v>
      </c>
      <c r="D69" t="s">
        <v>824</v>
      </c>
      <c r="E69" t="s">
        <v>164</v>
      </c>
      <c r="F69">
        <v>0</v>
      </c>
      <c r="P69"/>
      <c r="Q69"/>
      <c r="AG69" s="1" t="str">
        <v>DPLUS118</v>
      </c>
      <c r="AH69" s="1">
        <v>8</v>
      </c>
      <c r="AI69" s="1">
        <v>2023</v>
      </c>
      <c r="AJ69" s="1" t="str">
        <v>Y3</v>
      </c>
      <c r="AK69" s="1" t="str">
        <v>DPLUS-A01</v>
      </c>
      <c r="AL69" s="1">
        <v>0</v>
      </c>
    </row>
    <row r="70" spans="1:38" ht="15" x14ac:dyDescent="0.25">
      <c r="A70" t="s">
        <v>62</v>
      </c>
      <c r="B70">
        <v>8</v>
      </c>
      <c r="C70">
        <v>2021</v>
      </c>
      <c r="D70" t="s">
        <v>822</v>
      </c>
      <c r="E70" t="s">
        <v>164</v>
      </c>
      <c r="F70">
        <v>20</v>
      </c>
      <c r="P70"/>
      <c r="Q70"/>
      <c r="AG70" s="1" t="str">
        <v>DPLUS120</v>
      </c>
      <c r="AH70" s="1">
        <v>8</v>
      </c>
      <c r="AI70" s="1">
        <v>2021</v>
      </c>
      <c r="AJ70" s="1" t="str">
        <v>Y1</v>
      </c>
      <c r="AK70" s="1" t="str">
        <v>DPLUS-A01</v>
      </c>
      <c r="AL70" s="1">
        <v>20</v>
      </c>
    </row>
    <row r="71" spans="1:38" ht="15" x14ac:dyDescent="0.25">
      <c r="A71" t="s">
        <v>62</v>
      </c>
      <c r="B71">
        <v>8</v>
      </c>
      <c r="C71">
        <v>2022</v>
      </c>
      <c r="D71" t="s">
        <v>823</v>
      </c>
      <c r="E71" t="s">
        <v>164</v>
      </c>
      <c r="F71">
        <v>0</v>
      </c>
      <c r="P71"/>
      <c r="Q71"/>
      <c r="AG71" s="1" t="str">
        <v>DPLUS120</v>
      </c>
      <c r="AH71" s="1">
        <v>8</v>
      </c>
      <c r="AI71" s="1">
        <v>2022</v>
      </c>
      <c r="AJ71" s="1" t="str">
        <v>Y2</v>
      </c>
      <c r="AK71" s="1" t="str">
        <v>DPLUS-A01</v>
      </c>
      <c r="AL71" s="1">
        <v>0</v>
      </c>
    </row>
    <row r="72" spans="1:38" ht="15" x14ac:dyDescent="0.25">
      <c r="A72" t="s">
        <v>62</v>
      </c>
      <c r="B72">
        <v>8</v>
      </c>
      <c r="C72">
        <v>2023</v>
      </c>
      <c r="D72" t="s">
        <v>824</v>
      </c>
      <c r="E72" t="s">
        <v>164</v>
      </c>
      <c r="F72">
        <v>0</v>
      </c>
      <c r="P72"/>
      <c r="Q72"/>
      <c r="AG72" s="1" t="str">
        <v>DPLUS120</v>
      </c>
      <c r="AH72" s="1">
        <v>8</v>
      </c>
      <c r="AI72" s="1">
        <v>2023</v>
      </c>
      <c r="AJ72" s="1" t="str">
        <v>Y3</v>
      </c>
      <c r="AK72" s="1" t="str">
        <v>DPLUS-A01</v>
      </c>
      <c r="AL72" s="1">
        <v>0</v>
      </c>
    </row>
    <row r="73" spans="1:38" ht="15" x14ac:dyDescent="0.25">
      <c r="A73" t="s">
        <v>62</v>
      </c>
      <c r="B73">
        <v>8</v>
      </c>
      <c r="C73">
        <v>2021</v>
      </c>
      <c r="D73" t="s">
        <v>822</v>
      </c>
      <c r="E73" t="s">
        <v>250</v>
      </c>
      <c r="F73">
        <v>1</v>
      </c>
      <c r="P73"/>
      <c r="Q73"/>
      <c r="AG73" s="1" t="str">
        <v>DPLUS120</v>
      </c>
      <c r="AH73" s="1">
        <v>8</v>
      </c>
      <c r="AI73" s="1">
        <v>2021</v>
      </c>
      <c r="AJ73" s="1" t="str">
        <v>Y1</v>
      </c>
      <c r="AK73" s="1" t="str">
        <v>DPLUS-C17</v>
      </c>
      <c r="AL73" s="1">
        <v>1</v>
      </c>
    </row>
    <row r="74" spans="1:38" ht="15" x14ac:dyDescent="0.25">
      <c r="A74" t="s">
        <v>62</v>
      </c>
      <c r="B74">
        <v>8</v>
      </c>
      <c r="C74">
        <v>2022</v>
      </c>
      <c r="D74" t="s">
        <v>823</v>
      </c>
      <c r="E74" t="s">
        <v>250</v>
      </c>
      <c r="F74">
        <v>0</v>
      </c>
      <c r="P74"/>
      <c r="Q74"/>
      <c r="AG74" s="1" t="str">
        <v>DPLUS120</v>
      </c>
      <c r="AH74" s="1">
        <v>8</v>
      </c>
      <c r="AI74" s="1">
        <v>2022</v>
      </c>
      <c r="AJ74" s="1" t="str">
        <v>Y2</v>
      </c>
      <c r="AK74" s="1" t="str">
        <v>DPLUS-C17</v>
      </c>
      <c r="AL74" s="1">
        <v>0</v>
      </c>
    </row>
    <row r="75" spans="1:38" ht="15" x14ac:dyDescent="0.25">
      <c r="A75" t="s">
        <v>62</v>
      </c>
      <c r="B75">
        <v>8</v>
      </c>
      <c r="C75">
        <v>2023</v>
      </c>
      <c r="D75" t="s">
        <v>824</v>
      </c>
      <c r="E75" t="s">
        <v>250</v>
      </c>
      <c r="F75">
        <v>0</v>
      </c>
      <c r="P75"/>
      <c r="Q75"/>
      <c r="AG75" s="1" t="str">
        <v>DPLUS120</v>
      </c>
      <c r="AH75" s="1">
        <v>8</v>
      </c>
      <c r="AI75" s="1">
        <v>2023</v>
      </c>
      <c r="AJ75" s="1" t="str">
        <v>Y3</v>
      </c>
      <c r="AK75" s="1" t="str">
        <v>DPLUS-C17</v>
      </c>
      <c r="AL75" s="1">
        <v>0</v>
      </c>
    </row>
    <row r="76" spans="1:38" ht="15" x14ac:dyDescent="0.25">
      <c r="A76" t="s">
        <v>64</v>
      </c>
      <c r="B76">
        <v>8</v>
      </c>
      <c r="C76">
        <v>2021</v>
      </c>
      <c r="D76" t="s">
        <v>822</v>
      </c>
      <c r="E76" t="s">
        <v>164</v>
      </c>
      <c r="F76">
        <v>20</v>
      </c>
      <c r="P76"/>
      <c r="Q76"/>
      <c r="AG76" s="1" t="str">
        <v>DPLUS121</v>
      </c>
      <c r="AH76" s="1">
        <v>8</v>
      </c>
      <c r="AI76" s="1">
        <v>2021</v>
      </c>
      <c r="AJ76" s="1" t="str">
        <v>Y1</v>
      </c>
      <c r="AK76" s="1" t="str">
        <v>DPLUS-A01</v>
      </c>
      <c r="AL76" s="1">
        <v>20</v>
      </c>
    </row>
    <row r="77" spans="1:38" ht="15" x14ac:dyDescent="0.25">
      <c r="A77" t="s">
        <v>64</v>
      </c>
      <c r="B77">
        <v>8</v>
      </c>
      <c r="C77">
        <v>2022</v>
      </c>
      <c r="D77" t="s">
        <v>823</v>
      </c>
      <c r="E77" t="s">
        <v>164</v>
      </c>
      <c r="F77">
        <v>0</v>
      </c>
      <c r="P77"/>
      <c r="Q77"/>
      <c r="AG77" s="1" t="str">
        <v>DPLUS121</v>
      </c>
      <c r="AH77" s="1">
        <v>8</v>
      </c>
      <c r="AI77" s="1">
        <v>2022</v>
      </c>
      <c r="AJ77" s="1" t="str">
        <v>Y2</v>
      </c>
      <c r="AK77" s="1" t="str">
        <v>DPLUS-A01</v>
      </c>
      <c r="AL77" s="1">
        <v>0</v>
      </c>
    </row>
    <row r="78" spans="1:38" ht="15" x14ac:dyDescent="0.25">
      <c r="A78" t="s">
        <v>64</v>
      </c>
      <c r="B78">
        <v>8</v>
      </c>
      <c r="C78">
        <v>2023</v>
      </c>
      <c r="D78" t="s">
        <v>824</v>
      </c>
      <c r="E78" t="s">
        <v>164</v>
      </c>
      <c r="F78">
        <v>0</v>
      </c>
      <c r="P78"/>
      <c r="Q78"/>
      <c r="AG78" s="1" t="str">
        <v>DPLUS121</v>
      </c>
      <c r="AH78" s="1">
        <v>8</v>
      </c>
      <c r="AI78" s="1">
        <v>2023</v>
      </c>
      <c r="AJ78" s="1" t="str">
        <v>Y3</v>
      </c>
      <c r="AK78" s="1" t="str">
        <v>DPLUS-A01</v>
      </c>
      <c r="AL78" s="1">
        <v>0</v>
      </c>
    </row>
    <row r="79" spans="1:38" ht="15" x14ac:dyDescent="0.25">
      <c r="A79" t="s">
        <v>64</v>
      </c>
      <c r="B79">
        <v>8</v>
      </c>
      <c r="C79">
        <v>2021</v>
      </c>
      <c r="D79" t="s">
        <v>822</v>
      </c>
      <c r="E79" t="s">
        <v>250</v>
      </c>
      <c r="F79">
        <v>1</v>
      </c>
      <c r="P79"/>
      <c r="Q79"/>
      <c r="AG79" s="1" t="str">
        <v>DPLUS121</v>
      </c>
      <c r="AH79" s="1">
        <v>8</v>
      </c>
      <c r="AI79" s="1">
        <v>2021</v>
      </c>
      <c r="AJ79" s="1" t="str">
        <v>Y1</v>
      </c>
      <c r="AK79" s="1" t="str">
        <v>DPLUS-C17</v>
      </c>
      <c r="AL79" s="1">
        <v>1</v>
      </c>
    </row>
    <row r="80" spans="1:38" ht="15" x14ac:dyDescent="0.25">
      <c r="A80" t="s">
        <v>64</v>
      </c>
      <c r="B80">
        <v>8</v>
      </c>
      <c r="C80">
        <v>2022</v>
      </c>
      <c r="D80" t="s">
        <v>823</v>
      </c>
      <c r="E80" t="s">
        <v>250</v>
      </c>
      <c r="F80">
        <v>0</v>
      </c>
      <c r="P80"/>
      <c r="Q80"/>
      <c r="AG80" s="1" t="str">
        <v>DPLUS121</v>
      </c>
      <c r="AH80" s="1">
        <v>8</v>
      </c>
      <c r="AI80" s="1">
        <v>2022</v>
      </c>
      <c r="AJ80" s="1" t="str">
        <v>Y2</v>
      </c>
      <c r="AK80" s="1" t="str">
        <v>DPLUS-C17</v>
      </c>
      <c r="AL80" s="1">
        <v>0</v>
      </c>
    </row>
    <row r="81" spans="1:38" ht="15" x14ac:dyDescent="0.25">
      <c r="A81" t="s">
        <v>64</v>
      </c>
      <c r="B81">
        <v>8</v>
      </c>
      <c r="C81">
        <v>2023</v>
      </c>
      <c r="D81" t="s">
        <v>824</v>
      </c>
      <c r="E81" t="s">
        <v>250</v>
      </c>
      <c r="F81">
        <v>0</v>
      </c>
      <c r="P81"/>
      <c r="Q81"/>
      <c r="AG81" s="1" t="str">
        <v>DPLUS121</v>
      </c>
      <c r="AH81" s="1">
        <v>8</v>
      </c>
      <c r="AI81" s="1">
        <v>2023</v>
      </c>
      <c r="AJ81" s="1" t="str">
        <v>Y3</v>
      </c>
      <c r="AK81" s="1" t="str">
        <v>DPLUS-C17</v>
      </c>
      <c r="AL81" s="1">
        <v>0</v>
      </c>
    </row>
    <row r="82" spans="1:38" ht="15" x14ac:dyDescent="0.25">
      <c r="A82" t="s">
        <v>306</v>
      </c>
      <c r="B82">
        <v>9</v>
      </c>
      <c r="C82">
        <v>2022</v>
      </c>
      <c r="D82" t="s">
        <v>822</v>
      </c>
      <c r="E82" t="s">
        <v>164</v>
      </c>
      <c r="F82">
        <v>0</v>
      </c>
      <c r="P82"/>
      <c r="Q82"/>
      <c r="AG82" s="1" t="str">
        <v>DPLUS125</v>
      </c>
      <c r="AH82" s="1">
        <v>9</v>
      </c>
      <c r="AI82" s="1">
        <v>2022</v>
      </c>
      <c r="AJ82" s="1" t="str">
        <v>Y1</v>
      </c>
      <c r="AK82" s="1" t="str">
        <v>DPLUS-A01</v>
      </c>
      <c r="AL82" s="1">
        <v>0</v>
      </c>
    </row>
    <row r="83" spans="1:38" ht="15" x14ac:dyDescent="0.25">
      <c r="A83" t="s">
        <v>306</v>
      </c>
      <c r="B83">
        <v>9</v>
      </c>
      <c r="C83">
        <v>2023</v>
      </c>
      <c r="D83" t="s">
        <v>823</v>
      </c>
      <c r="E83" t="s">
        <v>164</v>
      </c>
      <c r="F83">
        <v>15</v>
      </c>
      <c r="P83"/>
      <c r="Q83"/>
      <c r="AG83" s="1" t="str">
        <v>DPLUS125</v>
      </c>
      <c r="AH83" s="1">
        <v>9</v>
      </c>
      <c r="AI83" s="1">
        <v>2023</v>
      </c>
      <c r="AJ83" s="1" t="str">
        <v>Y2</v>
      </c>
      <c r="AK83" s="1" t="str">
        <v>DPLUS-A01</v>
      </c>
      <c r="AL83" s="1">
        <v>15</v>
      </c>
    </row>
    <row r="84" spans="1:38" ht="15" x14ac:dyDescent="0.25">
      <c r="A84" t="s">
        <v>306</v>
      </c>
      <c r="B84">
        <v>9</v>
      </c>
      <c r="C84">
        <v>2024</v>
      </c>
      <c r="D84" t="s">
        <v>824</v>
      </c>
      <c r="E84" t="s">
        <v>164</v>
      </c>
      <c r="F84">
        <v>0</v>
      </c>
      <c r="P84"/>
      <c r="Q84"/>
      <c r="AG84" s="1" t="str">
        <v>DPLUS125</v>
      </c>
      <c r="AH84" s="1">
        <v>9</v>
      </c>
      <c r="AI84" s="1">
        <v>2024</v>
      </c>
      <c r="AJ84" s="1" t="str">
        <v>Y3</v>
      </c>
      <c r="AK84" s="1" t="str">
        <v>DPLUS-A01</v>
      </c>
      <c r="AL84" s="1">
        <v>0</v>
      </c>
    </row>
    <row r="85" spans="1:38" ht="15" x14ac:dyDescent="0.25">
      <c r="A85" t="s">
        <v>306</v>
      </c>
      <c r="B85">
        <v>9</v>
      </c>
      <c r="C85">
        <v>2022</v>
      </c>
      <c r="D85" t="s">
        <v>822</v>
      </c>
      <c r="E85" t="s">
        <v>169</v>
      </c>
      <c r="F85">
        <v>0</v>
      </c>
      <c r="P85"/>
      <c r="Q85"/>
      <c r="AG85" s="1" t="str">
        <v>DPLUS125</v>
      </c>
      <c r="AH85" s="1">
        <v>9</v>
      </c>
      <c r="AI85" s="1">
        <v>2022</v>
      </c>
      <c r="AJ85" s="1" t="str">
        <v>Y1</v>
      </c>
      <c r="AK85" s="1" t="str">
        <v>DPLUS-A03</v>
      </c>
      <c r="AL85" s="1">
        <v>0</v>
      </c>
    </row>
    <row r="86" spans="1:38" ht="15" x14ac:dyDescent="0.25">
      <c r="A86" t="s">
        <v>306</v>
      </c>
      <c r="B86">
        <v>9</v>
      </c>
      <c r="C86">
        <v>2023</v>
      </c>
      <c r="D86" t="s">
        <v>823</v>
      </c>
      <c r="E86" t="s">
        <v>169</v>
      </c>
      <c r="F86">
        <v>3</v>
      </c>
      <c r="P86"/>
      <c r="Q86"/>
      <c r="AG86" s="1" t="str">
        <v>DPLUS125</v>
      </c>
      <c r="AH86" s="1">
        <v>9</v>
      </c>
      <c r="AI86" s="1">
        <v>2023</v>
      </c>
      <c r="AJ86" s="1" t="str">
        <v>Y2</v>
      </c>
      <c r="AK86" s="1" t="str">
        <v>DPLUS-A03</v>
      </c>
      <c r="AL86" s="1">
        <v>3</v>
      </c>
    </row>
    <row r="87" spans="1:38" ht="15" x14ac:dyDescent="0.25">
      <c r="A87" t="s">
        <v>306</v>
      </c>
      <c r="B87">
        <v>9</v>
      </c>
      <c r="C87">
        <v>2024</v>
      </c>
      <c r="D87" t="s">
        <v>824</v>
      </c>
      <c r="E87" t="s">
        <v>169</v>
      </c>
      <c r="F87">
        <v>3</v>
      </c>
      <c r="P87"/>
      <c r="Q87"/>
      <c r="AG87" s="1" t="str">
        <v>DPLUS125</v>
      </c>
      <c r="AH87" s="1">
        <v>9</v>
      </c>
      <c r="AI87" s="1">
        <v>2024</v>
      </c>
      <c r="AJ87" s="1" t="str">
        <v>Y3</v>
      </c>
      <c r="AK87" s="1" t="str">
        <v>DPLUS-A03</v>
      </c>
      <c r="AL87" s="1">
        <v>3</v>
      </c>
    </row>
    <row r="88" spans="1:38" ht="15" x14ac:dyDescent="0.25">
      <c r="A88" t="s">
        <v>306</v>
      </c>
      <c r="B88">
        <v>9</v>
      </c>
      <c r="C88">
        <v>2022</v>
      </c>
      <c r="D88" t="s">
        <v>822</v>
      </c>
      <c r="E88" t="s">
        <v>190</v>
      </c>
      <c r="F88">
        <v>0</v>
      </c>
      <c r="P88"/>
      <c r="Q88"/>
      <c r="AG88" s="1" t="str">
        <v>DPLUS125</v>
      </c>
      <c r="AH88" s="1">
        <v>9</v>
      </c>
      <c r="AI88" s="1">
        <v>2022</v>
      </c>
      <c r="AJ88" s="1" t="str">
        <v>Y1</v>
      </c>
      <c r="AK88" s="1" t="str">
        <v>DPLUS-B02</v>
      </c>
      <c r="AL88" s="1">
        <v>0</v>
      </c>
    </row>
    <row r="89" spans="1:38" ht="15" x14ac:dyDescent="0.25">
      <c r="A89" t="s">
        <v>306</v>
      </c>
      <c r="B89">
        <v>9</v>
      </c>
      <c r="C89">
        <v>2023</v>
      </c>
      <c r="D89" t="s">
        <v>823</v>
      </c>
      <c r="E89" t="s">
        <v>190</v>
      </c>
      <c r="F89">
        <v>0</v>
      </c>
      <c r="P89"/>
      <c r="Q89"/>
      <c r="AG89" s="1" t="str">
        <v>DPLUS125</v>
      </c>
      <c r="AH89" s="1">
        <v>9</v>
      </c>
      <c r="AI89" s="1">
        <v>2023</v>
      </c>
      <c r="AJ89" s="1" t="str">
        <v>Y2</v>
      </c>
      <c r="AK89" s="1" t="str">
        <v>DPLUS-B02</v>
      </c>
      <c r="AL89" s="1">
        <v>0</v>
      </c>
    </row>
    <row r="90" spans="1:38" ht="15" x14ac:dyDescent="0.25">
      <c r="A90" t="s">
        <v>306</v>
      </c>
      <c r="B90">
        <v>9</v>
      </c>
      <c r="C90">
        <v>2024</v>
      </c>
      <c r="D90" t="s">
        <v>824</v>
      </c>
      <c r="E90" t="s">
        <v>190</v>
      </c>
      <c r="F90">
        <v>0</v>
      </c>
      <c r="P90"/>
      <c r="Q90"/>
      <c r="AG90" s="1" t="str">
        <v>DPLUS125</v>
      </c>
      <c r="AH90" s="1">
        <v>9</v>
      </c>
      <c r="AI90" s="1">
        <v>2024</v>
      </c>
      <c r="AJ90" s="1" t="str">
        <v>Y3</v>
      </c>
      <c r="AK90" s="1" t="str">
        <v>DPLUS-B02</v>
      </c>
      <c r="AL90" s="1">
        <v>0</v>
      </c>
    </row>
    <row r="91" spans="1:38" ht="15" x14ac:dyDescent="0.25">
      <c r="A91" t="s">
        <v>306</v>
      </c>
      <c r="B91">
        <v>9</v>
      </c>
      <c r="C91">
        <v>2022</v>
      </c>
      <c r="D91" t="s">
        <v>822</v>
      </c>
      <c r="E91" t="s">
        <v>215</v>
      </c>
      <c r="F91">
        <v>0</v>
      </c>
      <c r="P91"/>
      <c r="Q91"/>
      <c r="AG91" s="1" t="str">
        <v>DPLUS125</v>
      </c>
      <c r="AH91" s="1">
        <v>9</v>
      </c>
      <c r="AI91" s="1">
        <v>2022</v>
      </c>
      <c r="AJ91" s="1" t="str">
        <v>Y1</v>
      </c>
      <c r="AK91" s="1" t="str">
        <v>DPLUS-C01</v>
      </c>
      <c r="AL91" s="1">
        <v>0</v>
      </c>
    </row>
    <row r="92" spans="1:38" ht="15" x14ac:dyDescent="0.25">
      <c r="A92" t="s">
        <v>306</v>
      </c>
      <c r="B92">
        <v>9</v>
      </c>
      <c r="C92">
        <v>2023</v>
      </c>
      <c r="D92" t="s">
        <v>823</v>
      </c>
      <c r="E92" t="s">
        <v>215</v>
      </c>
      <c r="F92">
        <v>0</v>
      </c>
      <c r="P92"/>
      <c r="Q92"/>
      <c r="AG92" s="1" t="str">
        <v>DPLUS125</v>
      </c>
      <c r="AH92" s="1">
        <v>9</v>
      </c>
      <c r="AI92" s="1">
        <v>2023</v>
      </c>
      <c r="AJ92" s="1" t="str">
        <v>Y2</v>
      </c>
      <c r="AK92" s="1" t="str">
        <v>DPLUS-C01</v>
      </c>
      <c r="AL92" s="1">
        <v>0</v>
      </c>
    </row>
    <row r="93" spans="1:38" ht="15" x14ac:dyDescent="0.25">
      <c r="A93" t="s">
        <v>306</v>
      </c>
      <c r="B93">
        <v>9</v>
      </c>
      <c r="C93">
        <v>2024</v>
      </c>
      <c r="D93" t="s">
        <v>824</v>
      </c>
      <c r="E93" t="s">
        <v>215</v>
      </c>
      <c r="F93">
        <v>0</v>
      </c>
      <c r="P93"/>
      <c r="Q93"/>
      <c r="AG93" s="1" t="str">
        <v>DPLUS125</v>
      </c>
      <c r="AH93" s="1">
        <v>9</v>
      </c>
      <c r="AI93" s="1">
        <v>2024</v>
      </c>
      <c r="AJ93" s="1" t="str">
        <v>Y3</v>
      </c>
      <c r="AK93" s="1" t="str">
        <v>DPLUS-C01</v>
      </c>
      <c r="AL93" s="1">
        <v>0</v>
      </c>
    </row>
    <row r="94" spans="1:38" ht="15" x14ac:dyDescent="0.25">
      <c r="A94" t="s">
        <v>306</v>
      </c>
      <c r="B94">
        <v>9</v>
      </c>
      <c r="C94">
        <v>2022</v>
      </c>
      <c r="D94" t="s">
        <v>822</v>
      </c>
      <c r="E94" t="s">
        <v>217</v>
      </c>
      <c r="F94">
        <v>0</v>
      </c>
      <c r="P94"/>
      <c r="Q94"/>
      <c r="AG94" s="1" t="str">
        <v>DPLUS125</v>
      </c>
      <c r="AH94" s="1">
        <v>9</v>
      </c>
      <c r="AI94" s="1">
        <v>2022</v>
      </c>
      <c r="AJ94" s="1" t="str">
        <v>Y1</v>
      </c>
      <c r="AK94" s="1" t="str">
        <v>DPLUS-C02</v>
      </c>
      <c r="AL94" s="1">
        <v>0</v>
      </c>
    </row>
    <row r="95" spans="1:38" ht="15" x14ac:dyDescent="0.25">
      <c r="A95" t="s">
        <v>306</v>
      </c>
      <c r="B95">
        <v>9</v>
      </c>
      <c r="C95">
        <v>2023</v>
      </c>
      <c r="D95" t="s">
        <v>823</v>
      </c>
      <c r="E95" t="s">
        <v>217</v>
      </c>
      <c r="F95">
        <v>0</v>
      </c>
      <c r="P95"/>
      <c r="Q95"/>
      <c r="AG95" s="1" t="str">
        <v>DPLUS125</v>
      </c>
      <c r="AH95" s="1">
        <v>9</v>
      </c>
      <c r="AI95" s="1">
        <v>2023</v>
      </c>
      <c r="AJ95" s="1" t="str">
        <v>Y2</v>
      </c>
      <c r="AK95" s="1" t="str">
        <v>DPLUS-C02</v>
      </c>
      <c r="AL95" s="1">
        <v>0</v>
      </c>
    </row>
    <row r="96" spans="1:38" ht="15" x14ac:dyDescent="0.25">
      <c r="A96" t="s">
        <v>306</v>
      </c>
      <c r="B96">
        <v>9</v>
      </c>
      <c r="C96">
        <v>2024</v>
      </c>
      <c r="D96" t="s">
        <v>824</v>
      </c>
      <c r="E96" t="s">
        <v>217</v>
      </c>
      <c r="F96">
        <v>0</v>
      </c>
      <c r="P96"/>
      <c r="Q96"/>
      <c r="AG96" s="1" t="str">
        <v>DPLUS125</v>
      </c>
      <c r="AH96" s="1">
        <v>9</v>
      </c>
      <c r="AI96" s="1">
        <v>2024</v>
      </c>
      <c r="AJ96" s="1" t="str">
        <v>Y3</v>
      </c>
      <c r="AK96" s="1" t="str">
        <v>DPLUS-C02</v>
      </c>
      <c r="AL96" s="1">
        <v>0</v>
      </c>
    </row>
    <row r="97" spans="1:38" ht="15" x14ac:dyDescent="0.25">
      <c r="A97" t="s">
        <v>307</v>
      </c>
      <c r="B97">
        <v>9</v>
      </c>
      <c r="C97">
        <v>2022</v>
      </c>
      <c r="D97" t="s">
        <v>822</v>
      </c>
      <c r="E97" t="s">
        <v>164</v>
      </c>
      <c r="F97">
        <v>0</v>
      </c>
      <c r="P97"/>
      <c r="Q97"/>
      <c r="AG97" s="1" t="str">
        <v>DPLUS126</v>
      </c>
      <c r="AH97" s="1">
        <v>9</v>
      </c>
      <c r="AI97" s="1">
        <v>2022</v>
      </c>
      <c r="AJ97" s="1" t="str">
        <v>Y1</v>
      </c>
      <c r="AK97" s="1" t="str">
        <v>DPLUS-A01</v>
      </c>
      <c r="AL97" s="1">
        <v>0</v>
      </c>
    </row>
    <row r="98" spans="1:38" ht="15" x14ac:dyDescent="0.25">
      <c r="A98" t="s">
        <v>307</v>
      </c>
      <c r="B98">
        <v>9</v>
      </c>
      <c r="C98">
        <v>2023</v>
      </c>
      <c r="D98" t="s">
        <v>823</v>
      </c>
      <c r="E98" t="s">
        <v>164</v>
      </c>
      <c r="F98">
        <v>0</v>
      </c>
      <c r="P98"/>
      <c r="Q98"/>
      <c r="AG98" s="1" t="str">
        <v>DPLUS126</v>
      </c>
      <c r="AH98" s="1">
        <v>9</v>
      </c>
      <c r="AI98" s="1">
        <v>2023</v>
      </c>
      <c r="AJ98" s="1" t="str">
        <v>Y2</v>
      </c>
      <c r="AK98" s="1" t="str">
        <v>DPLUS-A01</v>
      </c>
      <c r="AL98" s="1">
        <v>0</v>
      </c>
    </row>
    <row r="99" spans="1:38" ht="15" x14ac:dyDescent="0.25">
      <c r="A99" t="s">
        <v>307</v>
      </c>
      <c r="B99">
        <v>9</v>
      </c>
      <c r="C99">
        <v>2024</v>
      </c>
      <c r="D99" t="s">
        <v>824</v>
      </c>
      <c r="E99" t="s">
        <v>164</v>
      </c>
      <c r="F99">
        <v>3</v>
      </c>
      <c r="P99"/>
      <c r="Q99"/>
      <c r="AG99" s="1" t="str">
        <v>DPLUS126</v>
      </c>
      <c r="AH99" s="1">
        <v>9</v>
      </c>
      <c r="AI99" s="1">
        <v>2024</v>
      </c>
      <c r="AJ99" s="1" t="str">
        <v>Y3</v>
      </c>
      <c r="AK99" s="1" t="str">
        <v>DPLUS-A01</v>
      </c>
      <c r="AL99" s="1">
        <v>3</v>
      </c>
    </row>
    <row r="100" spans="1:38" ht="15" x14ac:dyDescent="0.25">
      <c r="A100" t="s">
        <v>307</v>
      </c>
      <c r="B100">
        <v>9</v>
      </c>
      <c r="C100">
        <v>2022</v>
      </c>
      <c r="D100" t="s">
        <v>822</v>
      </c>
      <c r="E100" t="s">
        <v>169</v>
      </c>
      <c r="F100">
        <v>0</v>
      </c>
      <c r="P100"/>
      <c r="Q100"/>
      <c r="AG100" s="1" t="str">
        <v>DPLUS126</v>
      </c>
      <c r="AH100" s="1">
        <v>9</v>
      </c>
      <c r="AI100" s="1">
        <v>2022</v>
      </c>
      <c r="AJ100" s="1" t="str">
        <v>Y1</v>
      </c>
      <c r="AK100" s="1" t="str">
        <v>DPLUS-A03</v>
      </c>
      <c r="AL100" s="1">
        <v>0</v>
      </c>
    </row>
    <row r="101" spans="1:38" ht="15" x14ac:dyDescent="0.25">
      <c r="A101" t="s">
        <v>307</v>
      </c>
      <c r="B101">
        <v>9</v>
      </c>
      <c r="C101">
        <v>2023</v>
      </c>
      <c r="D101" t="s">
        <v>823</v>
      </c>
      <c r="E101" t="s">
        <v>169</v>
      </c>
      <c r="F101">
        <v>0</v>
      </c>
      <c r="P101"/>
      <c r="Q101"/>
      <c r="AG101" s="1" t="str">
        <v>DPLUS126</v>
      </c>
      <c r="AH101" s="1">
        <v>9</v>
      </c>
      <c r="AI101" s="1">
        <v>2023</v>
      </c>
      <c r="AJ101" s="1" t="str">
        <v>Y2</v>
      </c>
      <c r="AK101" s="1" t="str">
        <v>DPLUS-A03</v>
      </c>
      <c r="AL101" s="1">
        <v>0</v>
      </c>
    </row>
    <row r="102" spans="1:38" ht="15" x14ac:dyDescent="0.25">
      <c r="A102" t="s">
        <v>307</v>
      </c>
      <c r="B102">
        <v>9</v>
      </c>
      <c r="C102">
        <v>2024</v>
      </c>
      <c r="D102" t="s">
        <v>824</v>
      </c>
      <c r="E102" t="s">
        <v>169</v>
      </c>
      <c r="F102">
        <v>1</v>
      </c>
      <c r="P102"/>
      <c r="Q102"/>
      <c r="AG102" s="1" t="str">
        <v>DPLUS126</v>
      </c>
      <c r="AH102" s="1">
        <v>9</v>
      </c>
      <c r="AI102" s="1">
        <v>2024</v>
      </c>
      <c r="AJ102" s="1" t="str">
        <v>Y3</v>
      </c>
      <c r="AK102" s="1" t="str">
        <v>DPLUS-A03</v>
      </c>
      <c r="AL102" s="1">
        <v>1</v>
      </c>
    </row>
    <row r="103" spans="1:38" ht="15" x14ac:dyDescent="0.25">
      <c r="A103" t="s">
        <v>307</v>
      </c>
      <c r="B103">
        <v>9</v>
      </c>
      <c r="C103">
        <v>2022</v>
      </c>
      <c r="D103" t="s">
        <v>822</v>
      </c>
      <c r="E103" t="s">
        <v>179</v>
      </c>
      <c r="F103">
        <v>0</v>
      </c>
      <c r="P103"/>
      <c r="Q103"/>
      <c r="AG103" s="1" t="str">
        <v>DPLUS126</v>
      </c>
      <c r="AH103" s="1">
        <v>9</v>
      </c>
      <c r="AI103" s="1">
        <v>2022</v>
      </c>
      <c r="AJ103" s="1" t="str">
        <v>Y1</v>
      </c>
      <c r="AK103" s="1" t="str">
        <v>DPLUS-A07</v>
      </c>
      <c r="AL103" s="1">
        <v>0</v>
      </c>
    </row>
    <row r="104" spans="1:38" ht="15" x14ac:dyDescent="0.25">
      <c r="A104" t="s">
        <v>307</v>
      </c>
      <c r="B104">
        <v>9</v>
      </c>
      <c r="C104">
        <v>2023</v>
      </c>
      <c r="D104" t="s">
        <v>823</v>
      </c>
      <c r="E104" t="s">
        <v>179</v>
      </c>
      <c r="F104">
        <v>0</v>
      </c>
      <c r="P104"/>
      <c r="Q104"/>
      <c r="AG104" s="1" t="str">
        <v>DPLUS126</v>
      </c>
      <c r="AH104" s="1">
        <v>9</v>
      </c>
      <c r="AI104" s="1">
        <v>2023</v>
      </c>
      <c r="AJ104" s="1" t="str">
        <v>Y2</v>
      </c>
      <c r="AK104" s="1" t="str">
        <v>DPLUS-A07</v>
      </c>
      <c r="AL104" s="1">
        <v>0</v>
      </c>
    </row>
    <row r="105" spans="1:38" ht="15" x14ac:dyDescent="0.25">
      <c r="A105" t="s">
        <v>307</v>
      </c>
      <c r="B105">
        <v>9</v>
      </c>
      <c r="C105">
        <v>2024</v>
      </c>
      <c r="D105" t="s">
        <v>824</v>
      </c>
      <c r="E105" t="s">
        <v>179</v>
      </c>
      <c r="F105">
        <v>0</v>
      </c>
      <c r="P105"/>
      <c r="Q105"/>
      <c r="AG105" s="1" t="str">
        <v>DPLUS126</v>
      </c>
      <c r="AH105" s="1">
        <v>9</v>
      </c>
      <c r="AI105" s="1">
        <v>2024</v>
      </c>
      <c r="AJ105" s="1" t="str">
        <v>Y3</v>
      </c>
      <c r="AK105" s="1" t="str">
        <v>DPLUS-A07</v>
      </c>
      <c r="AL105" s="1">
        <v>0</v>
      </c>
    </row>
    <row r="106" spans="1:38" ht="15" x14ac:dyDescent="0.25">
      <c r="A106" t="s">
        <v>307</v>
      </c>
      <c r="B106">
        <v>9</v>
      </c>
      <c r="C106">
        <v>2022</v>
      </c>
      <c r="D106" t="s">
        <v>822</v>
      </c>
      <c r="E106" t="s">
        <v>190</v>
      </c>
      <c r="F106">
        <v>0</v>
      </c>
      <c r="P106"/>
      <c r="Q106"/>
      <c r="AG106" s="1" t="str">
        <v>DPLUS126</v>
      </c>
      <c r="AH106" s="1">
        <v>9</v>
      </c>
      <c r="AI106" s="1">
        <v>2022</v>
      </c>
      <c r="AJ106" s="1" t="str">
        <v>Y1</v>
      </c>
      <c r="AK106" s="1" t="str">
        <v>DPLUS-B02</v>
      </c>
      <c r="AL106" s="1">
        <v>0</v>
      </c>
    </row>
    <row r="107" spans="1:38" ht="15" x14ac:dyDescent="0.25">
      <c r="A107" t="s">
        <v>307</v>
      </c>
      <c r="B107">
        <v>9</v>
      </c>
      <c r="C107">
        <v>2023</v>
      </c>
      <c r="D107" t="s">
        <v>823</v>
      </c>
      <c r="E107" t="s">
        <v>190</v>
      </c>
      <c r="F107">
        <v>0</v>
      </c>
      <c r="P107"/>
      <c r="Q107"/>
      <c r="AG107" s="1" t="str">
        <v>DPLUS126</v>
      </c>
      <c r="AH107" s="1">
        <v>9</v>
      </c>
      <c r="AI107" s="1">
        <v>2023</v>
      </c>
      <c r="AJ107" s="1" t="str">
        <v>Y2</v>
      </c>
      <c r="AK107" s="1" t="str">
        <v>DPLUS-B02</v>
      </c>
      <c r="AL107" s="1">
        <v>0</v>
      </c>
    </row>
    <row r="108" spans="1:38" ht="15" x14ac:dyDescent="0.25">
      <c r="A108" t="s">
        <v>307</v>
      </c>
      <c r="B108">
        <v>9</v>
      </c>
      <c r="C108">
        <v>2024</v>
      </c>
      <c r="D108" t="s">
        <v>824</v>
      </c>
      <c r="E108" t="s">
        <v>190</v>
      </c>
      <c r="F108">
        <v>0</v>
      </c>
      <c r="P108"/>
      <c r="Q108"/>
      <c r="AG108" s="1" t="str">
        <v>DPLUS126</v>
      </c>
      <c r="AH108" s="1">
        <v>9</v>
      </c>
      <c r="AI108" s="1">
        <v>2024</v>
      </c>
      <c r="AJ108" s="1" t="str">
        <v>Y3</v>
      </c>
      <c r="AK108" s="1" t="str">
        <v>DPLUS-B02</v>
      </c>
      <c r="AL108" s="1">
        <v>0</v>
      </c>
    </row>
    <row r="109" spans="1:38" ht="15" x14ac:dyDescent="0.25">
      <c r="A109" t="s">
        <v>307</v>
      </c>
      <c r="B109">
        <v>9</v>
      </c>
      <c r="C109">
        <v>2022</v>
      </c>
      <c r="D109" t="s">
        <v>822</v>
      </c>
      <c r="E109" t="s">
        <v>210</v>
      </c>
      <c r="F109">
        <v>0</v>
      </c>
      <c r="P109"/>
      <c r="Q109"/>
      <c r="AG109" s="1" t="str">
        <v>DPLUS126</v>
      </c>
      <c r="AH109" s="1">
        <v>9</v>
      </c>
      <c r="AI109" s="1">
        <v>2022</v>
      </c>
      <c r="AJ109" s="1" t="str">
        <v>Y1</v>
      </c>
      <c r="AK109" s="1" t="str">
        <v>DPLUS-B11</v>
      </c>
      <c r="AL109" s="1">
        <v>0</v>
      </c>
    </row>
    <row r="110" spans="1:38" ht="15" x14ac:dyDescent="0.25">
      <c r="A110" t="s">
        <v>307</v>
      </c>
      <c r="B110">
        <v>9</v>
      </c>
      <c r="C110">
        <v>2023</v>
      </c>
      <c r="D110" t="s">
        <v>823</v>
      </c>
      <c r="E110" t="s">
        <v>210</v>
      </c>
      <c r="F110">
        <v>0</v>
      </c>
      <c r="P110"/>
      <c r="Q110"/>
      <c r="AG110" s="1" t="str">
        <v>DPLUS126</v>
      </c>
      <c r="AH110" s="1">
        <v>9</v>
      </c>
      <c r="AI110" s="1">
        <v>2023</v>
      </c>
      <c r="AJ110" s="1" t="str">
        <v>Y2</v>
      </c>
      <c r="AK110" s="1" t="str">
        <v>DPLUS-B11</v>
      </c>
      <c r="AL110" s="1">
        <v>0</v>
      </c>
    </row>
    <row r="111" spans="1:38" ht="15" x14ac:dyDescent="0.25">
      <c r="A111" t="s">
        <v>307</v>
      </c>
      <c r="B111">
        <v>9</v>
      </c>
      <c r="C111">
        <v>2024</v>
      </c>
      <c r="D111" t="s">
        <v>824</v>
      </c>
      <c r="E111" t="s">
        <v>210</v>
      </c>
      <c r="F111">
        <v>3</v>
      </c>
      <c r="P111"/>
      <c r="Q111"/>
      <c r="AG111" s="1" t="str">
        <v>DPLUS126</v>
      </c>
      <c r="AH111" s="1">
        <v>9</v>
      </c>
      <c r="AI111" s="1">
        <v>2024</v>
      </c>
      <c r="AJ111" s="1" t="str">
        <v>Y3</v>
      </c>
      <c r="AK111" s="1" t="str">
        <v>DPLUS-B11</v>
      </c>
      <c r="AL111" s="1">
        <v>3</v>
      </c>
    </row>
    <row r="112" spans="1:38" ht="15" x14ac:dyDescent="0.25">
      <c r="A112" t="s">
        <v>307</v>
      </c>
      <c r="B112">
        <v>9</v>
      </c>
      <c r="C112">
        <v>2022</v>
      </c>
      <c r="D112" t="s">
        <v>822</v>
      </c>
      <c r="E112" t="s">
        <v>215</v>
      </c>
      <c r="F112">
        <v>0</v>
      </c>
      <c r="P112"/>
      <c r="Q112"/>
      <c r="AG112" s="1" t="str">
        <v>DPLUS126</v>
      </c>
      <c r="AH112" s="1">
        <v>9</v>
      </c>
      <c r="AI112" s="1">
        <v>2022</v>
      </c>
      <c r="AJ112" s="1" t="str">
        <v>Y1</v>
      </c>
      <c r="AK112" s="1" t="str">
        <v>DPLUS-C01</v>
      </c>
      <c r="AL112" s="1">
        <v>0</v>
      </c>
    </row>
    <row r="113" spans="1:38" ht="15" x14ac:dyDescent="0.25">
      <c r="A113" t="s">
        <v>307</v>
      </c>
      <c r="B113">
        <v>9</v>
      </c>
      <c r="C113">
        <v>2023</v>
      </c>
      <c r="D113" t="s">
        <v>823</v>
      </c>
      <c r="E113" t="s">
        <v>215</v>
      </c>
      <c r="F113">
        <v>0</v>
      </c>
      <c r="P113"/>
      <c r="Q113"/>
      <c r="AG113" s="1" t="str">
        <v>DPLUS126</v>
      </c>
      <c r="AH113" s="1">
        <v>9</v>
      </c>
      <c r="AI113" s="1">
        <v>2023</v>
      </c>
      <c r="AJ113" s="1" t="str">
        <v>Y2</v>
      </c>
      <c r="AK113" s="1" t="str">
        <v>DPLUS-C01</v>
      </c>
      <c r="AL113" s="1">
        <v>0</v>
      </c>
    </row>
    <row r="114" spans="1:38" ht="15" x14ac:dyDescent="0.25">
      <c r="A114" t="s">
        <v>307</v>
      </c>
      <c r="B114">
        <v>9</v>
      </c>
      <c r="C114">
        <v>2024</v>
      </c>
      <c r="D114" t="s">
        <v>824</v>
      </c>
      <c r="E114" t="s">
        <v>215</v>
      </c>
      <c r="F114">
        <v>0</v>
      </c>
      <c r="P114"/>
      <c r="Q114"/>
      <c r="AG114" s="1" t="str">
        <v>DPLUS126</v>
      </c>
      <c r="AH114" s="1">
        <v>9</v>
      </c>
      <c r="AI114" s="1">
        <v>2024</v>
      </c>
      <c r="AJ114" s="1" t="str">
        <v>Y3</v>
      </c>
      <c r="AK114" s="1" t="str">
        <v>DPLUS-C01</v>
      </c>
      <c r="AL114" s="1">
        <v>0</v>
      </c>
    </row>
    <row r="115" spans="1:38" ht="15" x14ac:dyDescent="0.25">
      <c r="A115" t="s">
        <v>307</v>
      </c>
      <c r="B115">
        <v>9</v>
      </c>
      <c r="C115">
        <v>2022</v>
      </c>
      <c r="D115" t="s">
        <v>822</v>
      </c>
      <c r="E115" t="s">
        <v>227</v>
      </c>
      <c r="F115">
        <v>0</v>
      </c>
      <c r="P115"/>
      <c r="Q115"/>
      <c r="AG115" s="1" t="str">
        <v>DPLUS126</v>
      </c>
      <c r="AH115" s="1">
        <v>9</v>
      </c>
      <c r="AI115" s="1">
        <v>2022</v>
      </c>
      <c r="AJ115" s="1" t="str">
        <v>Y1</v>
      </c>
      <c r="AK115" s="1" t="str">
        <v>DPLUS-C07</v>
      </c>
      <c r="AL115" s="1">
        <v>0</v>
      </c>
    </row>
    <row r="116" spans="1:38" ht="15" x14ac:dyDescent="0.25">
      <c r="A116" t="s">
        <v>307</v>
      </c>
      <c r="B116">
        <v>9</v>
      </c>
      <c r="C116">
        <v>2023</v>
      </c>
      <c r="D116" t="s">
        <v>823</v>
      </c>
      <c r="E116" t="s">
        <v>227</v>
      </c>
      <c r="F116">
        <v>1</v>
      </c>
      <c r="P116"/>
      <c r="Q116"/>
      <c r="AG116" s="1" t="str">
        <v>DPLUS126</v>
      </c>
      <c r="AH116" s="1">
        <v>9</v>
      </c>
      <c r="AI116" s="1">
        <v>2023</v>
      </c>
      <c r="AJ116" s="1" t="str">
        <v>Y2</v>
      </c>
      <c r="AK116" s="1" t="str">
        <v>DPLUS-C07</v>
      </c>
      <c r="AL116" s="1">
        <v>1</v>
      </c>
    </row>
    <row r="117" spans="1:38" ht="15" x14ac:dyDescent="0.25">
      <c r="A117" t="s">
        <v>307</v>
      </c>
      <c r="B117">
        <v>9</v>
      </c>
      <c r="C117">
        <v>2024</v>
      </c>
      <c r="D117" t="s">
        <v>824</v>
      </c>
      <c r="E117" t="s">
        <v>227</v>
      </c>
      <c r="F117">
        <v>0</v>
      </c>
      <c r="P117"/>
      <c r="Q117"/>
      <c r="AG117" s="1" t="str">
        <v>DPLUS126</v>
      </c>
      <c r="AH117" s="1">
        <v>9</v>
      </c>
      <c r="AI117" s="1">
        <v>2024</v>
      </c>
      <c r="AJ117" s="1" t="str">
        <v>Y3</v>
      </c>
      <c r="AK117" s="1" t="str">
        <v>DPLUS-C07</v>
      </c>
      <c r="AL117" s="1">
        <v>0</v>
      </c>
    </row>
    <row r="118" spans="1:38" ht="15" x14ac:dyDescent="0.25">
      <c r="A118" t="s">
        <v>307</v>
      </c>
      <c r="B118">
        <v>9</v>
      </c>
      <c r="C118">
        <v>2022</v>
      </c>
      <c r="D118" t="s">
        <v>822</v>
      </c>
      <c r="E118" t="s">
        <v>230</v>
      </c>
      <c r="F118">
        <v>0</v>
      </c>
      <c r="P118"/>
      <c r="Q118"/>
      <c r="AG118" s="1" t="str">
        <v>DPLUS126</v>
      </c>
      <c r="AH118" s="1">
        <v>9</v>
      </c>
      <c r="AI118" s="1">
        <v>2022</v>
      </c>
      <c r="AJ118" s="1" t="str">
        <v>Y1</v>
      </c>
      <c r="AK118" s="1" t="str">
        <v>DPLUS-C08</v>
      </c>
      <c r="AL118" s="1">
        <v>0</v>
      </c>
    </row>
    <row r="119" spans="1:38" ht="15" x14ac:dyDescent="0.25">
      <c r="A119" t="s">
        <v>307</v>
      </c>
      <c r="B119">
        <v>9</v>
      </c>
      <c r="C119">
        <v>2023</v>
      </c>
      <c r="D119" t="s">
        <v>823</v>
      </c>
      <c r="E119" t="s">
        <v>230</v>
      </c>
      <c r="F119">
        <v>0</v>
      </c>
      <c r="P119"/>
      <c r="Q119"/>
      <c r="AG119" s="1" t="str">
        <v>DPLUS126</v>
      </c>
      <c r="AH119" s="1">
        <v>9</v>
      </c>
      <c r="AI119" s="1">
        <v>2023</v>
      </c>
      <c r="AJ119" s="1" t="str">
        <v>Y2</v>
      </c>
      <c r="AK119" s="1" t="str">
        <v>DPLUS-C08</v>
      </c>
      <c r="AL119" s="1">
        <v>0</v>
      </c>
    </row>
    <row r="120" spans="1:38" ht="15" x14ac:dyDescent="0.25">
      <c r="A120" t="s">
        <v>307</v>
      </c>
      <c r="B120">
        <v>9</v>
      </c>
      <c r="C120">
        <v>2024</v>
      </c>
      <c r="D120" t="s">
        <v>824</v>
      </c>
      <c r="E120" t="s">
        <v>230</v>
      </c>
      <c r="F120">
        <v>3</v>
      </c>
      <c r="P120"/>
      <c r="Q120"/>
      <c r="AG120" s="1" t="str">
        <v>DPLUS126</v>
      </c>
      <c r="AH120" s="1">
        <v>9</v>
      </c>
      <c r="AI120" s="1">
        <v>2024</v>
      </c>
      <c r="AJ120" s="1" t="str">
        <v>Y3</v>
      </c>
      <c r="AK120" s="1" t="str">
        <v>DPLUS-C08</v>
      </c>
      <c r="AL120" s="1">
        <v>3</v>
      </c>
    </row>
    <row r="121" spans="1:38" ht="15" x14ac:dyDescent="0.25">
      <c r="A121" t="s">
        <v>307</v>
      </c>
      <c r="B121">
        <v>9</v>
      </c>
      <c r="C121">
        <v>2022</v>
      </c>
      <c r="D121" t="s">
        <v>822</v>
      </c>
      <c r="E121" t="s">
        <v>238</v>
      </c>
      <c r="F121">
        <v>1000</v>
      </c>
      <c r="P121"/>
      <c r="Q121"/>
      <c r="AG121" s="1" t="str">
        <v>DPLUS126</v>
      </c>
      <c r="AH121" s="1">
        <v>9</v>
      </c>
      <c r="AI121" s="1">
        <v>2022</v>
      </c>
      <c r="AJ121" s="1" t="str">
        <v>Y1</v>
      </c>
      <c r="AK121" s="1" t="str">
        <v>DPLUS-C12</v>
      </c>
      <c r="AL121" s="1">
        <v>1000</v>
      </c>
    </row>
    <row r="122" spans="1:38" ht="15" x14ac:dyDescent="0.25">
      <c r="A122" t="s">
        <v>307</v>
      </c>
      <c r="B122">
        <v>9</v>
      </c>
      <c r="C122">
        <v>2023</v>
      </c>
      <c r="D122" t="s">
        <v>823</v>
      </c>
      <c r="E122" t="s">
        <v>238</v>
      </c>
      <c r="F122">
        <v>1000</v>
      </c>
      <c r="P122"/>
      <c r="Q122"/>
      <c r="AG122" s="1" t="str">
        <v>DPLUS126</v>
      </c>
      <c r="AH122" s="1">
        <v>9</v>
      </c>
      <c r="AI122" s="1">
        <v>2023</v>
      </c>
      <c r="AJ122" s="1" t="str">
        <v>Y2</v>
      </c>
      <c r="AK122" s="1" t="str">
        <v>DPLUS-C12</v>
      </c>
      <c r="AL122" s="1">
        <v>1000</v>
      </c>
    </row>
    <row r="123" spans="1:38" ht="15" x14ac:dyDescent="0.25">
      <c r="A123" t="s">
        <v>307</v>
      </c>
      <c r="B123">
        <v>9</v>
      </c>
      <c r="C123">
        <v>2024</v>
      </c>
      <c r="D123" t="s">
        <v>824</v>
      </c>
      <c r="E123" t="s">
        <v>238</v>
      </c>
      <c r="F123">
        <v>1000</v>
      </c>
      <c r="P123"/>
      <c r="Q123"/>
      <c r="AG123" s="1" t="str">
        <v>DPLUS126</v>
      </c>
      <c r="AH123" s="1">
        <v>9</v>
      </c>
      <c r="AI123" s="1">
        <v>2024</v>
      </c>
      <c r="AJ123" s="1" t="str">
        <v>Y3</v>
      </c>
      <c r="AK123" s="1" t="str">
        <v>DPLUS-C12</v>
      </c>
      <c r="AL123" s="1">
        <v>1000</v>
      </c>
    </row>
    <row r="124" spans="1:38" ht="15" x14ac:dyDescent="0.25">
      <c r="A124" t="s">
        <v>307</v>
      </c>
      <c r="B124">
        <v>9</v>
      </c>
      <c r="C124">
        <v>2022</v>
      </c>
      <c r="D124" t="s">
        <v>822</v>
      </c>
      <c r="E124" t="s">
        <v>245</v>
      </c>
      <c r="F124">
        <v>2</v>
      </c>
      <c r="P124"/>
      <c r="Q124"/>
      <c r="AG124" s="1" t="str">
        <v>DPLUS126</v>
      </c>
      <c r="AH124" s="1">
        <v>9</v>
      </c>
      <c r="AI124" s="1">
        <v>2022</v>
      </c>
      <c r="AJ124" s="1" t="str">
        <v>Y1</v>
      </c>
      <c r="AK124" s="1" t="str">
        <v>DPLUS-C15</v>
      </c>
      <c r="AL124" s="1">
        <v>2</v>
      </c>
    </row>
    <row r="125" spans="1:38" ht="15" x14ac:dyDescent="0.25">
      <c r="A125" t="s">
        <v>307</v>
      </c>
      <c r="B125">
        <v>9</v>
      </c>
      <c r="C125">
        <v>2023</v>
      </c>
      <c r="D125" t="s">
        <v>823</v>
      </c>
      <c r="E125" t="s">
        <v>245</v>
      </c>
      <c r="F125">
        <v>8</v>
      </c>
      <c r="P125"/>
      <c r="Q125"/>
      <c r="AG125" s="1" t="str">
        <v>DPLUS126</v>
      </c>
      <c r="AH125" s="1">
        <v>9</v>
      </c>
      <c r="AI125" s="1">
        <v>2023</v>
      </c>
      <c r="AJ125" s="1" t="str">
        <v>Y2</v>
      </c>
      <c r="AK125" s="1" t="str">
        <v>DPLUS-C15</v>
      </c>
      <c r="AL125" s="1">
        <v>8</v>
      </c>
    </row>
    <row r="126" spans="1:38" ht="15" x14ac:dyDescent="0.25">
      <c r="A126" t="s">
        <v>307</v>
      </c>
      <c r="B126">
        <v>9</v>
      </c>
      <c r="C126">
        <v>2024</v>
      </c>
      <c r="D126" t="s">
        <v>824</v>
      </c>
      <c r="E126" t="s">
        <v>245</v>
      </c>
      <c r="F126">
        <v>6</v>
      </c>
      <c r="P126"/>
      <c r="Q126"/>
      <c r="AG126" s="1" t="str">
        <v>DPLUS126</v>
      </c>
      <c r="AH126" s="1">
        <v>9</v>
      </c>
      <c r="AI126" s="1">
        <v>2024</v>
      </c>
      <c r="AJ126" s="1" t="str">
        <v>Y3</v>
      </c>
      <c r="AK126" s="1" t="str">
        <v>DPLUS-C15</v>
      </c>
      <c r="AL126" s="1">
        <v>6</v>
      </c>
    </row>
    <row r="127" spans="1:38" ht="15" x14ac:dyDescent="0.25">
      <c r="A127" t="s">
        <v>307</v>
      </c>
      <c r="B127">
        <v>9</v>
      </c>
      <c r="C127">
        <v>2022</v>
      </c>
      <c r="D127" t="s">
        <v>822</v>
      </c>
      <c r="E127" t="s">
        <v>250</v>
      </c>
      <c r="F127">
        <v>0</v>
      </c>
      <c r="P127"/>
      <c r="Q127"/>
      <c r="AG127" s="1" t="str">
        <v>DPLUS126</v>
      </c>
      <c r="AH127" s="1">
        <v>9</v>
      </c>
      <c r="AI127" s="1">
        <v>2022</v>
      </c>
      <c r="AJ127" s="1" t="str">
        <v>Y1</v>
      </c>
      <c r="AK127" s="1" t="str">
        <v>DPLUS-C17</v>
      </c>
      <c r="AL127" s="1">
        <v>0</v>
      </c>
    </row>
    <row r="128" spans="1:38" ht="15" x14ac:dyDescent="0.25">
      <c r="A128" t="s">
        <v>307</v>
      </c>
      <c r="B128">
        <v>9</v>
      </c>
      <c r="C128">
        <v>2023</v>
      </c>
      <c r="D128" t="s">
        <v>823</v>
      </c>
      <c r="E128" t="s">
        <v>250</v>
      </c>
      <c r="F128">
        <v>2</v>
      </c>
      <c r="P128"/>
      <c r="Q128"/>
      <c r="AG128" s="1" t="str">
        <v>DPLUS126</v>
      </c>
      <c r="AH128" s="1">
        <v>9</v>
      </c>
      <c r="AI128" s="1">
        <v>2023</v>
      </c>
      <c r="AJ128" s="1" t="str">
        <v>Y2</v>
      </c>
      <c r="AK128" s="1" t="str">
        <v>DPLUS-C17</v>
      </c>
      <c r="AL128" s="1">
        <v>2</v>
      </c>
    </row>
    <row r="129" spans="1:38" ht="15" x14ac:dyDescent="0.25">
      <c r="A129" t="s">
        <v>307</v>
      </c>
      <c r="B129">
        <v>9</v>
      </c>
      <c r="C129">
        <v>2024</v>
      </c>
      <c r="D129" t="s">
        <v>824</v>
      </c>
      <c r="E129" t="s">
        <v>250</v>
      </c>
      <c r="F129">
        <v>0</v>
      </c>
      <c r="P129"/>
      <c r="Q129"/>
      <c r="AG129" s="1" t="str">
        <v>DPLUS126</v>
      </c>
      <c r="AH129" s="1">
        <v>9</v>
      </c>
      <c r="AI129" s="1">
        <v>2024</v>
      </c>
      <c r="AJ129" s="1" t="str">
        <v>Y3</v>
      </c>
      <c r="AK129" s="1" t="str">
        <v>DPLUS-C17</v>
      </c>
      <c r="AL129" s="1">
        <v>0</v>
      </c>
    </row>
    <row r="130" spans="1:38" ht="15" x14ac:dyDescent="0.25">
      <c r="A130" t="s">
        <v>307</v>
      </c>
      <c r="B130">
        <v>9</v>
      </c>
      <c r="C130">
        <v>2022</v>
      </c>
      <c r="D130" t="s">
        <v>822</v>
      </c>
      <c r="E130" t="s">
        <v>252</v>
      </c>
      <c r="F130">
        <v>0</v>
      </c>
      <c r="P130"/>
      <c r="Q130"/>
      <c r="AG130" s="1" t="str">
        <v>DPLUS126</v>
      </c>
      <c r="AH130" s="1">
        <v>9</v>
      </c>
      <c r="AI130" s="1">
        <v>2022</v>
      </c>
      <c r="AJ130" s="1" t="str">
        <v>Y1</v>
      </c>
      <c r="AK130" s="1" t="str">
        <v>DPLUS-C18</v>
      </c>
      <c r="AL130" s="1">
        <v>0</v>
      </c>
    </row>
    <row r="131" spans="1:38" ht="15" x14ac:dyDescent="0.25">
      <c r="A131" t="s">
        <v>307</v>
      </c>
      <c r="B131">
        <v>9</v>
      </c>
      <c r="C131">
        <v>2023</v>
      </c>
      <c r="D131" t="s">
        <v>823</v>
      </c>
      <c r="E131" t="s">
        <v>252</v>
      </c>
      <c r="F131">
        <v>0</v>
      </c>
      <c r="P131"/>
      <c r="Q131"/>
      <c r="AG131" s="1" t="str">
        <v>DPLUS126</v>
      </c>
      <c r="AH131" s="1">
        <v>9</v>
      </c>
      <c r="AI131" s="1">
        <v>2023</v>
      </c>
      <c r="AJ131" s="1" t="str">
        <v>Y2</v>
      </c>
      <c r="AK131" s="1" t="str">
        <v>DPLUS-C18</v>
      </c>
      <c r="AL131" s="1">
        <v>0</v>
      </c>
    </row>
    <row r="132" spans="1:38" ht="15" x14ac:dyDescent="0.25">
      <c r="A132" t="s">
        <v>307</v>
      </c>
      <c r="B132">
        <v>9</v>
      </c>
      <c r="C132">
        <v>2024</v>
      </c>
      <c r="D132" t="s">
        <v>824</v>
      </c>
      <c r="E132" t="s">
        <v>252</v>
      </c>
      <c r="F132">
        <v>3</v>
      </c>
      <c r="P132"/>
      <c r="Q132"/>
      <c r="AG132" s="1" t="str">
        <v>DPLUS126</v>
      </c>
      <c r="AH132" s="1">
        <v>9</v>
      </c>
      <c r="AI132" s="1">
        <v>2024</v>
      </c>
      <c r="AJ132" s="1" t="str">
        <v>Y3</v>
      </c>
      <c r="AK132" s="1" t="str">
        <v>DPLUS-C18</v>
      </c>
      <c r="AL132" s="1">
        <v>3</v>
      </c>
    </row>
    <row r="133" spans="1:38" ht="15" x14ac:dyDescent="0.25">
      <c r="A133" t="s">
        <v>307</v>
      </c>
      <c r="B133">
        <v>9</v>
      </c>
      <c r="C133">
        <v>2022</v>
      </c>
      <c r="D133" t="s">
        <v>822</v>
      </c>
      <c r="E133" t="s">
        <v>254</v>
      </c>
      <c r="F133">
        <v>0</v>
      </c>
      <c r="P133"/>
      <c r="Q133"/>
      <c r="AG133" s="1" t="str">
        <v>DPLUS126</v>
      </c>
      <c r="AH133" s="1">
        <v>9</v>
      </c>
      <c r="AI133" s="1">
        <v>2022</v>
      </c>
      <c r="AJ133" s="1" t="str">
        <v>Y1</v>
      </c>
      <c r="AK133" s="1" t="str">
        <v>DPLUS-C19</v>
      </c>
      <c r="AL133" s="1">
        <v>0</v>
      </c>
    </row>
    <row r="134" spans="1:38" ht="15" x14ac:dyDescent="0.25">
      <c r="A134" t="s">
        <v>307</v>
      </c>
      <c r="B134">
        <v>9</v>
      </c>
      <c r="C134">
        <v>2023</v>
      </c>
      <c r="D134" t="s">
        <v>823</v>
      </c>
      <c r="E134" t="s">
        <v>254</v>
      </c>
      <c r="F134">
        <v>0</v>
      </c>
      <c r="P134"/>
      <c r="Q134"/>
      <c r="AG134" s="1" t="str">
        <v>DPLUS126</v>
      </c>
      <c r="AH134" s="1">
        <v>9</v>
      </c>
      <c r="AI134" s="1">
        <v>2023</v>
      </c>
      <c r="AJ134" s="1" t="str">
        <v>Y2</v>
      </c>
      <c r="AK134" s="1" t="str">
        <v>DPLUS-C19</v>
      </c>
      <c r="AL134" s="1">
        <v>0</v>
      </c>
    </row>
    <row r="135" spans="1:38" ht="15" x14ac:dyDescent="0.25">
      <c r="A135" t="s">
        <v>307</v>
      </c>
      <c r="B135">
        <v>9</v>
      </c>
      <c r="C135">
        <v>2024</v>
      </c>
      <c r="D135" t="s">
        <v>824</v>
      </c>
      <c r="E135" t="s">
        <v>254</v>
      </c>
      <c r="F135">
        <v>1</v>
      </c>
      <c r="P135"/>
      <c r="Q135"/>
      <c r="AG135" s="1" t="str">
        <v>DPLUS126</v>
      </c>
      <c r="AH135" s="1">
        <v>9</v>
      </c>
      <c r="AI135" s="1">
        <v>2024</v>
      </c>
      <c r="AJ135" s="1" t="str">
        <v>Y3</v>
      </c>
      <c r="AK135" s="1" t="str">
        <v>DPLUS-C19</v>
      </c>
      <c r="AL135" s="1">
        <v>1</v>
      </c>
    </row>
    <row r="136" spans="1:38" ht="15" x14ac:dyDescent="0.25">
      <c r="A136" t="s">
        <v>66</v>
      </c>
      <c r="B136">
        <v>9</v>
      </c>
      <c r="C136">
        <v>2022</v>
      </c>
      <c r="D136" t="s">
        <v>822</v>
      </c>
      <c r="E136" t="s">
        <v>164</v>
      </c>
      <c r="F136">
        <v>0</v>
      </c>
      <c r="P136"/>
      <c r="Q136"/>
      <c r="AG136" s="1" t="str">
        <v>DPLUS127</v>
      </c>
      <c r="AH136" s="1">
        <v>9</v>
      </c>
      <c r="AI136" s="1">
        <v>2022</v>
      </c>
      <c r="AJ136" s="1" t="str">
        <v>Y1</v>
      </c>
      <c r="AK136" s="1" t="str">
        <v>DPLUS-A01</v>
      </c>
      <c r="AL136" s="1">
        <v>0</v>
      </c>
    </row>
    <row r="137" spans="1:38" ht="15" x14ac:dyDescent="0.25">
      <c r="A137" t="s">
        <v>66</v>
      </c>
      <c r="B137">
        <v>9</v>
      </c>
      <c r="C137">
        <v>2023</v>
      </c>
      <c r="D137" t="s">
        <v>823</v>
      </c>
      <c r="E137" t="s">
        <v>164</v>
      </c>
      <c r="F137">
        <v>9</v>
      </c>
      <c r="P137"/>
      <c r="Q137"/>
      <c r="AG137" s="1" t="str">
        <v>DPLUS127</v>
      </c>
      <c r="AH137" s="1">
        <v>9</v>
      </c>
      <c r="AI137" s="1">
        <v>2023</v>
      </c>
      <c r="AJ137" s="1" t="str">
        <v>Y2</v>
      </c>
      <c r="AK137" s="1" t="str">
        <v>DPLUS-A01</v>
      </c>
      <c r="AL137" s="1">
        <v>9</v>
      </c>
    </row>
    <row r="138" spans="1:38" ht="15" x14ac:dyDescent="0.25">
      <c r="A138" t="s">
        <v>66</v>
      </c>
      <c r="B138">
        <v>9</v>
      </c>
      <c r="C138">
        <v>2024</v>
      </c>
      <c r="D138" t="s">
        <v>824</v>
      </c>
      <c r="E138" t="s">
        <v>164</v>
      </c>
      <c r="F138">
        <v>0</v>
      </c>
      <c r="P138"/>
      <c r="Q138"/>
      <c r="AG138" s="1" t="str">
        <v>DPLUS127</v>
      </c>
      <c r="AH138" s="1">
        <v>9</v>
      </c>
      <c r="AI138" s="1">
        <v>2024</v>
      </c>
      <c r="AJ138" s="1" t="str">
        <v>Y3</v>
      </c>
      <c r="AK138" s="1" t="str">
        <v>DPLUS-A01</v>
      </c>
      <c r="AL138" s="1">
        <v>0</v>
      </c>
    </row>
    <row r="139" spans="1:38" ht="15" x14ac:dyDescent="0.25">
      <c r="A139" t="s">
        <v>68</v>
      </c>
      <c r="B139">
        <v>9</v>
      </c>
      <c r="C139">
        <v>2022</v>
      </c>
      <c r="D139" t="s">
        <v>822</v>
      </c>
      <c r="E139" t="s">
        <v>164</v>
      </c>
      <c r="F139">
        <v>20</v>
      </c>
      <c r="P139"/>
      <c r="Q139"/>
      <c r="AG139" s="1" t="str">
        <v>DPLUS128</v>
      </c>
      <c r="AH139" s="1">
        <v>9</v>
      </c>
      <c r="AI139" s="1">
        <v>2022</v>
      </c>
      <c r="AJ139" s="1" t="str">
        <v>Y1</v>
      </c>
      <c r="AK139" s="1" t="str">
        <v>DPLUS-A01</v>
      </c>
      <c r="AL139" s="1">
        <v>20</v>
      </c>
    </row>
    <row r="140" spans="1:38" ht="15" x14ac:dyDescent="0.25">
      <c r="A140" t="s">
        <v>68</v>
      </c>
      <c r="B140">
        <v>9</v>
      </c>
      <c r="C140">
        <v>2023</v>
      </c>
      <c r="D140" t="s">
        <v>823</v>
      </c>
      <c r="E140" t="s">
        <v>164</v>
      </c>
      <c r="F140">
        <v>0</v>
      </c>
      <c r="P140"/>
      <c r="Q140"/>
      <c r="AG140" s="1" t="str">
        <v>DPLUS128</v>
      </c>
      <c r="AH140" s="1">
        <v>9</v>
      </c>
      <c r="AI140" s="1">
        <v>2023</v>
      </c>
      <c r="AJ140" s="1" t="str">
        <v>Y2</v>
      </c>
      <c r="AK140" s="1" t="str">
        <v>DPLUS-A01</v>
      </c>
      <c r="AL140" s="1">
        <v>0</v>
      </c>
    </row>
    <row r="141" spans="1:38" ht="15" x14ac:dyDescent="0.25">
      <c r="A141" t="s">
        <v>68</v>
      </c>
      <c r="B141">
        <v>9</v>
      </c>
      <c r="C141">
        <v>2024</v>
      </c>
      <c r="D141" t="s">
        <v>824</v>
      </c>
      <c r="E141" t="s">
        <v>164</v>
      </c>
      <c r="F141">
        <v>0</v>
      </c>
      <c r="P141"/>
      <c r="Q141"/>
      <c r="AG141" s="1" t="str">
        <v>DPLUS128</v>
      </c>
      <c r="AH141" s="1">
        <v>9</v>
      </c>
      <c r="AI141" s="1">
        <v>2024</v>
      </c>
      <c r="AJ141" s="1" t="str">
        <v>Y3</v>
      </c>
      <c r="AK141" s="1" t="str">
        <v>DPLUS-A01</v>
      </c>
      <c r="AL141" s="1">
        <v>0</v>
      </c>
    </row>
    <row r="142" spans="1:38" ht="15" x14ac:dyDescent="0.25">
      <c r="A142" t="s">
        <v>68</v>
      </c>
      <c r="B142">
        <v>9</v>
      </c>
      <c r="C142">
        <v>2022</v>
      </c>
      <c r="D142" t="s">
        <v>822</v>
      </c>
      <c r="E142" t="s">
        <v>250</v>
      </c>
      <c r="F142">
        <v>1</v>
      </c>
      <c r="P142"/>
      <c r="Q142"/>
      <c r="AG142" s="1" t="str">
        <v>DPLUS128</v>
      </c>
      <c r="AH142" s="1">
        <v>9</v>
      </c>
      <c r="AI142" s="1">
        <v>2022</v>
      </c>
      <c r="AJ142" s="1" t="str">
        <v>Y1</v>
      </c>
      <c r="AK142" s="1" t="str">
        <v>DPLUS-C17</v>
      </c>
      <c r="AL142" s="1">
        <v>1</v>
      </c>
    </row>
    <row r="143" spans="1:38" ht="15" x14ac:dyDescent="0.25">
      <c r="A143" t="s">
        <v>68</v>
      </c>
      <c r="B143">
        <v>9</v>
      </c>
      <c r="C143">
        <v>2023</v>
      </c>
      <c r="D143" t="s">
        <v>823</v>
      </c>
      <c r="E143" t="s">
        <v>250</v>
      </c>
      <c r="F143">
        <v>0</v>
      </c>
      <c r="P143"/>
      <c r="Q143"/>
      <c r="AG143" s="1" t="str">
        <v>DPLUS128</v>
      </c>
      <c r="AH143" s="1">
        <v>9</v>
      </c>
      <c r="AI143" s="1">
        <v>2023</v>
      </c>
      <c r="AJ143" s="1" t="str">
        <v>Y2</v>
      </c>
      <c r="AK143" s="1" t="str">
        <v>DPLUS-C17</v>
      </c>
      <c r="AL143" s="1">
        <v>0</v>
      </c>
    </row>
    <row r="144" spans="1:38" ht="15" x14ac:dyDescent="0.25">
      <c r="A144" t="s">
        <v>68</v>
      </c>
      <c r="B144">
        <v>9</v>
      </c>
      <c r="C144">
        <v>2024</v>
      </c>
      <c r="D144" t="s">
        <v>824</v>
      </c>
      <c r="E144" t="s">
        <v>250</v>
      </c>
      <c r="F144">
        <v>0</v>
      </c>
      <c r="P144"/>
      <c r="Q144"/>
      <c r="AG144" s="1" t="str">
        <v>DPLUS128</v>
      </c>
      <c r="AH144" s="1">
        <v>9</v>
      </c>
      <c r="AI144" s="1">
        <v>2024</v>
      </c>
      <c r="AJ144" s="1" t="str">
        <v>Y3</v>
      </c>
      <c r="AK144" s="1" t="str">
        <v>DPLUS-C17</v>
      </c>
      <c r="AL144" s="1">
        <v>0</v>
      </c>
    </row>
    <row r="145" spans="1:38" ht="15" x14ac:dyDescent="0.25">
      <c r="A145" t="s">
        <v>72</v>
      </c>
      <c r="B145">
        <v>9</v>
      </c>
      <c r="C145">
        <v>2022</v>
      </c>
      <c r="D145" t="s">
        <v>822</v>
      </c>
      <c r="E145" t="s">
        <v>164</v>
      </c>
      <c r="F145">
        <v>0</v>
      </c>
      <c r="P145"/>
      <c r="Q145"/>
      <c r="AG145" s="1" t="str">
        <v>DPLUS130</v>
      </c>
      <c r="AH145" s="1">
        <v>9</v>
      </c>
      <c r="AI145" s="1">
        <v>2022</v>
      </c>
      <c r="AJ145" s="1" t="str">
        <v>Y1</v>
      </c>
      <c r="AK145" s="1" t="str">
        <v>DPLUS-A01</v>
      </c>
      <c r="AL145" s="1">
        <v>0</v>
      </c>
    </row>
    <row r="146" spans="1:38" ht="15" x14ac:dyDescent="0.25">
      <c r="A146" t="s">
        <v>72</v>
      </c>
      <c r="B146">
        <v>9</v>
      </c>
      <c r="C146">
        <v>2023</v>
      </c>
      <c r="D146" t="s">
        <v>823</v>
      </c>
      <c r="E146" t="s">
        <v>164</v>
      </c>
      <c r="F146">
        <v>259</v>
      </c>
      <c r="P146"/>
      <c r="Q146"/>
      <c r="AG146" s="1" t="str">
        <v>DPLUS130</v>
      </c>
      <c r="AH146" s="1">
        <v>9</v>
      </c>
      <c r="AI146" s="1">
        <v>2023</v>
      </c>
      <c r="AJ146" s="1" t="str">
        <v>Y2</v>
      </c>
      <c r="AK146" s="1" t="str">
        <v>DPLUS-A01</v>
      </c>
      <c r="AL146" s="1">
        <v>259</v>
      </c>
    </row>
    <row r="147" spans="1:38" ht="15" x14ac:dyDescent="0.25">
      <c r="A147" t="s">
        <v>72</v>
      </c>
      <c r="B147">
        <v>9</v>
      </c>
      <c r="C147">
        <v>2024</v>
      </c>
      <c r="D147" t="s">
        <v>824</v>
      </c>
      <c r="E147" t="s">
        <v>164</v>
      </c>
      <c r="F147">
        <v>0</v>
      </c>
      <c r="P147"/>
      <c r="Q147"/>
      <c r="AG147" s="1" t="str">
        <v>DPLUS130</v>
      </c>
      <c r="AH147" s="1">
        <v>9</v>
      </c>
      <c r="AI147" s="1">
        <v>2024</v>
      </c>
      <c r="AJ147" s="1" t="str">
        <v>Y3</v>
      </c>
      <c r="AK147" s="1" t="str">
        <v>DPLUS-A01</v>
      </c>
      <c r="AL147" s="1">
        <v>0</v>
      </c>
    </row>
    <row r="148" spans="1:38" ht="15" x14ac:dyDescent="0.25">
      <c r="A148" t="s">
        <v>72</v>
      </c>
      <c r="B148">
        <v>9</v>
      </c>
      <c r="C148">
        <v>2022</v>
      </c>
      <c r="D148" t="s">
        <v>822</v>
      </c>
      <c r="E148" t="s">
        <v>169</v>
      </c>
      <c r="F148">
        <v>0</v>
      </c>
      <c r="P148"/>
      <c r="Q148"/>
      <c r="AG148" s="1" t="str">
        <v>DPLUS130</v>
      </c>
      <c r="AH148" s="1">
        <v>9</v>
      </c>
      <c r="AI148" s="1">
        <v>2022</v>
      </c>
      <c r="AJ148" s="1" t="str">
        <v>Y1</v>
      </c>
      <c r="AK148" s="1" t="str">
        <v>DPLUS-A03</v>
      </c>
      <c r="AL148" s="1">
        <v>0</v>
      </c>
    </row>
    <row r="149" spans="1:38" ht="15" x14ac:dyDescent="0.25">
      <c r="A149" t="s">
        <v>72</v>
      </c>
      <c r="B149">
        <v>9</v>
      </c>
      <c r="C149">
        <v>2023</v>
      </c>
      <c r="D149" t="s">
        <v>823</v>
      </c>
      <c r="E149" t="s">
        <v>169</v>
      </c>
      <c r="F149">
        <v>0</v>
      </c>
      <c r="P149"/>
      <c r="Q149"/>
      <c r="AG149" s="1" t="str">
        <v>DPLUS130</v>
      </c>
      <c r="AH149" s="1">
        <v>9</v>
      </c>
      <c r="AI149" s="1">
        <v>2023</v>
      </c>
      <c r="AJ149" s="1" t="str">
        <v>Y2</v>
      </c>
      <c r="AK149" s="1" t="str">
        <v>DPLUS-A03</v>
      </c>
      <c r="AL149" s="1">
        <v>0</v>
      </c>
    </row>
    <row r="150" spans="1:38" ht="15" x14ac:dyDescent="0.25">
      <c r="A150" t="s">
        <v>72</v>
      </c>
      <c r="B150">
        <v>9</v>
      </c>
      <c r="C150">
        <v>2024</v>
      </c>
      <c r="D150" t="s">
        <v>824</v>
      </c>
      <c r="E150" t="s">
        <v>169</v>
      </c>
      <c r="F150">
        <v>3</v>
      </c>
      <c r="P150"/>
      <c r="Q150"/>
      <c r="AG150" s="1" t="str">
        <v>DPLUS130</v>
      </c>
      <c r="AH150" s="1">
        <v>9</v>
      </c>
      <c r="AI150" s="1">
        <v>2024</v>
      </c>
      <c r="AJ150" s="1" t="str">
        <v>Y3</v>
      </c>
      <c r="AK150" s="1" t="str">
        <v>DPLUS-A03</v>
      </c>
      <c r="AL150" s="1">
        <v>3</v>
      </c>
    </row>
    <row r="151" spans="1:38" ht="15" x14ac:dyDescent="0.25">
      <c r="A151" t="s">
        <v>72</v>
      </c>
      <c r="B151">
        <v>9</v>
      </c>
      <c r="C151">
        <v>2022</v>
      </c>
      <c r="D151" t="s">
        <v>822</v>
      </c>
      <c r="E151" t="s">
        <v>171</v>
      </c>
      <c r="F151">
        <v>0</v>
      </c>
      <c r="P151"/>
      <c r="Q151"/>
      <c r="AG151" s="1" t="str">
        <v>DPLUS130</v>
      </c>
      <c r="AH151" s="1">
        <v>9</v>
      </c>
      <c r="AI151" s="1">
        <v>2022</v>
      </c>
      <c r="AJ151" s="1" t="str">
        <v>Y1</v>
      </c>
      <c r="AK151" s="1" t="str">
        <v>DPLUS-A04</v>
      </c>
      <c r="AL151" s="1">
        <v>0</v>
      </c>
    </row>
    <row r="152" spans="1:38" ht="15" x14ac:dyDescent="0.25">
      <c r="A152" t="s">
        <v>72</v>
      </c>
      <c r="B152">
        <v>9</v>
      </c>
      <c r="C152">
        <v>2023</v>
      </c>
      <c r="D152" t="s">
        <v>823</v>
      </c>
      <c r="E152" t="s">
        <v>171</v>
      </c>
      <c r="F152">
        <v>20</v>
      </c>
      <c r="P152"/>
      <c r="Q152"/>
      <c r="AG152" s="1" t="str">
        <v>DPLUS130</v>
      </c>
      <c r="AH152" s="1">
        <v>9</v>
      </c>
      <c r="AI152" s="1">
        <v>2023</v>
      </c>
      <c r="AJ152" s="1" t="str">
        <v>Y2</v>
      </c>
      <c r="AK152" s="1" t="str">
        <v>DPLUS-A04</v>
      </c>
      <c r="AL152" s="1">
        <v>20</v>
      </c>
    </row>
    <row r="153" spans="1:38" ht="15" x14ac:dyDescent="0.25">
      <c r="A153" t="s">
        <v>72</v>
      </c>
      <c r="B153">
        <v>9</v>
      </c>
      <c r="C153">
        <v>2024</v>
      </c>
      <c r="D153" t="s">
        <v>824</v>
      </c>
      <c r="E153" t="s">
        <v>171</v>
      </c>
      <c r="F153">
        <v>0</v>
      </c>
      <c r="P153"/>
      <c r="Q153"/>
      <c r="AG153" s="1" t="str">
        <v>DPLUS130</v>
      </c>
      <c r="AH153" s="1">
        <v>9</v>
      </c>
      <c r="AI153" s="1">
        <v>2024</v>
      </c>
      <c r="AJ153" s="1" t="str">
        <v>Y3</v>
      </c>
      <c r="AK153" s="1" t="str">
        <v>DPLUS-A04</v>
      </c>
      <c r="AL153" s="1">
        <v>0</v>
      </c>
    </row>
    <row r="154" spans="1:38" ht="15" x14ac:dyDescent="0.25">
      <c r="A154" t="s">
        <v>72</v>
      </c>
      <c r="B154">
        <v>9</v>
      </c>
      <c r="C154">
        <v>2022</v>
      </c>
      <c r="D154" t="s">
        <v>822</v>
      </c>
      <c r="E154" t="s">
        <v>215</v>
      </c>
      <c r="F154">
        <v>0</v>
      </c>
      <c r="P154"/>
      <c r="Q154"/>
      <c r="AG154" s="1" t="str">
        <v>DPLUS130</v>
      </c>
      <c r="AH154" s="1">
        <v>9</v>
      </c>
      <c r="AI154" s="1">
        <v>2022</v>
      </c>
      <c r="AJ154" s="1" t="str">
        <v>Y1</v>
      </c>
      <c r="AK154" s="1" t="str">
        <v>DPLUS-C01</v>
      </c>
      <c r="AL154" s="1">
        <v>0</v>
      </c>
    </row>
    <row r="155" spans="1:38" ht="15" x14ac:dyDescent="0.25">
      <c r="A155" t="s">
        <v>72</v>
      </c>
      <c r="B155">
        <v>9</v>
      </c>
      <c r="C155">
        <v>2023</v>
      </c>
      <c r="D155" t="s">
        <v>823</v>
      </c>
      <c r="E155" t="s">
        <v>215</v>
      </c>
      <c r="F155">
        <v>0</v>
      </c>
      <c r="P155"/>
      <c r="Q155"/>
      <c r="AG155" s="1" t="str">
        <v>DPLUS130</v>
      </c>
      <c r="AH155" s="1">
        <v>9</v>
      </c>
      <c r="AI155" s="1">
        <v>2023</v>
      </c>
      <c r="AJ155" s="1" t="str">
        <v>Y2</v>
      </c>
      <c r="AK155" s="1" t="str">
        <v>DPLUS-C01</v>
      </c>
      <c r="AL155" s="1">
        <v>0</v>
      </c>
    </row>
    <row r="156" spans="1:38" ht="15" x14ac:dyDescent="0.25">
      <c r="A156" t="s">
        <v>72</v>
      </c>
      <c r="B156">
        <v>9</v>
      </c>
      <c r="C156">
        <v>2024</v>
      </c>
      <c r="D156" t="s">
        <v>824</v>
      </c>
      <c r="E156" t="s">
        <v>215</v>
      </c>
      <c r="F156">
        <v>1</v>
      </c>
      <c r="P156"/>
      <c r="Q156"/>
      <c r="AG156" s="1" t="str">
        <v>DPLUS130</v>
      </c>
      <c r="AH156" s="1">
        <v>9</v>
      </c>
      <c r="AI156" s="1">
        <v>2024</v>
      </c>
      <c r="AJ156" s="1" t="str">
        <v>Y3</v>
      </c>
      <c r="AK156" s="1" t="str">
        <v>DPLUS-C01</v>
      </c>
      <c r="AL156" s="1">
        <v>1</v>
      </c>
    </row>
    <row r="157" spans="1:38" ht="15" x14ac:dyDescent="0.25">
      <c r="A157" t="s">
        <v>74</v>
      </c>
      <c r="B157">
        <v>9</v>
      </c>
      <c r="C157">
        <v>2022</v>
      </c>
      <c r="D157" t="s">
        <v>822</v>
      </c>
      <c r="E157" t="s">
        <v>164</v>
      </c>
      <c r="F157">
        <v>18</v>
      </c>
      <c r="P157"/>
      <c r="Q157"/>
      <c r="AG157" s="1" t="str">
        <v>DPLUS131</v>
      </c>
      <c r="AH157" s="1">
        <v>9</v>
      </c>
      <c r="AI157" s="1">
        <v>2022</v>
      </c>
      <c r="AJ157" s="1" t="str">
        <v>Y1</v>
      </c>
      <c r="AK157" s="1" t="str">
        <v>DPLUS-A01</v>
      </c>
      <c r="AL157" s="1">
        <v>18</v>
      </c>
    </row>
    <row r="158" spans="1:38" ht="15" x14ac:dyDescent="0.25">
      <c r="A158" t="s">
        <v>74</v>
      </c>
      <c r="B158">
        <v>9</v>
      </c>
      <c r="C158">
        <v>2023</v>
      </c>
      <c r="D158" t="s">
        <v>823</v>
      </c>
      <c r="E158" t="s">
        <v>164</v>
      </c>
      <c r="F158">
        <v>13</v>
      </c>
      <c r="P158"/>
      <c r="Q158"/>
      <c r="AG158" s="1" t="str">
        <v>DPLUS131</v>
      </c>
      <c r="AH158" s="1">
        <v>9</v>
      </c>
      <c r="AI158" s="1">
        <v>2023</v>
      </c>
      <c r="AJ158" s="1" t="str">
        <v>Y2</v>
      </c>
      <c r="AK158" s="1" t="str">
        <v>DPLUS-A01</v>
      </c>
      <c r="AL158" s="1">
        <v>13</v>
      </c>
    </row>
    <row r="159" spans="1:38" ht="15" x14ac:dyDescent="0.25">
      <c r="A159" t="s">
        <v>74</v>
      </c>
      <c r="B159">
        <v>9</v>
      </c>
      <c r="C159">
        <v>2024</v>
      </c>
      <c r="D159" t="s">
        <v>824</v>
      </c>
      <c r="E159" t="s">
        <v>164</v>
      </c>
      <c r="F159">
        <v>0</v>
      </c>
      <c r="P159"/>
      <c r="Q159"/>
      <c r="AG159" s="1" t="str">
        <v>DPLUS131</v>
      </c>
      <c r="AH159" s="1">
        <v>9</v>
      </c>
      <c r="AI159" s="1">
        <v>2024</v>
      </c>
      <c r="AJ159" s="1" t="str">
        <v>Y3</v>
      </c>
      <c r="AK159" s="1" t="str">
        <v>DPLUS-A01</v>
      </c>
      <c r="AL159" s="1">
        <v>0</v>
      </c>
    </row>
    <row r="160" spans="1:38" ht="15" x14ac:dyDescent="0.25">
      <c r="A160" t="s">
        <v>74</v>
      </c>
      <c r="B160">
        <v>9</v>
      </c>
      <c r="C160">
        <v>2022</v>
      </c>
      <c r="D160" t="s">
        <v>822</v>
      </c>
      <c r="E160" t="s">
        <v>169</v>
      </c>
      <c r="F160">
        <v>4</v>
      </c>
      <c r="P160"/>
      <c r="Q160"/>
      <c r="AG160" s="1" t="str">
        <v>DPLUS131</v>
      </c>
      <c r="AH160" s="1">
        <v>9</v>
      </c>
      <c r="AI160" s="1">
        <v>2022</v>
      </c>
      <c r="AJ160" s="1" t="str">
        <v>Y1</v>
      </c>
      <c r="AK160" s="1" t="str">
        <v>DPLUS-A03</v>
      </c>
      <c r="AL160" s="1">
        <v>4</v>
      </c>
    </row>
    <row r="161" spans="1:38" ht="15" x14ac:dyDescent="0.25">
      <c r="A161" t="s">
        <v>74</v>
      </c>
      <c r="B161">
        <v>9</v>
      </c>
      <c r="C161">
        <v>2023</v>
      </c>
      <c r="D161" t="s">
        <v>823</v>
      </c>
      <c r="E161" t="s">
        <v>169</v>
      </c>
      <c r="F161">
        <v>4</v>
      </c>
      <c r="P161"/>
      <c r="Q161"/>
      <c r="AG161" s="1" t="str">
        <v>DPLUS131</v>
      </c>
      <c r="AH161" s="1">
        <v>9</v>
      </c>
      <c r="AI161" s="1">
        <v>2023</v>
      </c>
      <c r="AJ161" s="1" t="str">
        <v>Y2</v>
      </c>
      <c r="AK161" s="1" t="str">
        <v>DPLUS-A03</v>
      </c>
      <c r="AL161" s="1">
        <v>4</v>
      </c>
    </row>
    <row r="162" spans="1:38" ht="15" x14ac:dyDescent="0.25">
      <c r="A162" t="s">
        <v>74</v>
      </c>
      <c r="B162">
        <v>9</v>
      </c>
      <c r="C162">
        <v>2024</v>
      </c>
      <c r="D162" t="s">
        <v>824</v>
      </c>
      <c r="E162" t="s">
        <v>169</v>
      </c>
      <c r="F162">
        <v>4</v>
      </c>
      <c r="P162"/>
      <c r="Q162"/>
      <c r="AG162" s="1" t="str">
        <v>DPLUS131</v>
      </c>
      <c r="AH162" s="1">
        <v>9</v>
      </c>
      <c r="AI162" s="1">
        <v>2024</v>
      </c>
      <c r="AJ162" s="1" t="str">
        <v>Y3</v>
      </c>
      <c r="AK162" s="1" t="str">
        <v>DPLUS-A03</v>
      </c>
      <c r="AL162" s="1">
        <v>4</v>
      </c>
    </row>
    <row r="163" spans="1:38" ht="15" x14ac:dyDescent="0.25">
      <c r="A163" t="s">
        <v>74</v>
      </c>
      <c r="B163">
        <v>9</v>
      </c>
      <c r="C163">
        <v>2022</v>
      </c>
      <c r="D163" t="s">
        <v>822</v>
      </c>
      <c r="E163" t="s">
        <v>215</v>
      </c>
      <c r="F163">
        <v>0</v>
      </c>
      <c r="P163"/>
      <c r="Q163"/>
      <c r="AG163" s="1" t="str">
        <v>DPLUS131</v>
      </c>
      <c r="AH163" s="1">
        <v>9</v>
      </c>
      <c r="AI163" s="1">
        <v>2022</v>
      </c>
      <c r="AJ163" s="1" t="str">
        <v>Y1</v>
      </c>
      <c r="AK163" s="1" t="str">
        <v>DPLUS-C01</v>
      </c>
      <c r="AL163" s="1">
        <v>0</v>
      </c>
    </row>
    <row r="164" spans="1:38" ht="15" x14ac:dyDescent="0.25">
      <c r="A164" t="s">
        <v>74</v>
      </c>
      <c r="B164">
        <v>9</v>
      </c>
      <c r="C164">
        <v>2023</v>
      </c>
      <c r="D164" t="s">
        <v>823</v>
      </c>
      <c r="E164" t="s">
        <v>215</v>
      </c>
      <c r="F164">
        <v>1</v>
      </c>
      <c r="P164"/>
      <c r="Q164"/>
      <c r="AG164" s="1" t="str">
        <v>DPLUS131</v>
      </c>
      <c r="AH164" s="1">
        <v>9</v>
      </c>
      <c r="AI164" s="1">
        <v>2023</v>
      </c>
      <c r="AJ164" s="1" t="str">
        <v>Y2</v>
      </c>
      <c r="AK164" s="1" t="str">
        <v>DPLUS-C01</v>
      </c>
      <c r="AL164" s="1">
        <v>1</v>
      </c>
    </row>
    <row r="165" spans="1:38" ht="15" x14ac:dyDescent="0.25">
      <c r="A165" t="s">
        <v>74</v>
      </c>
      <c r="B165">
        <v>9</v>
      </c>
      <c r="C165">
        <v>2024</v>
      </c>
      <c r="D165" t="s">
        <v>824</v>
      </c>
      <c r="E165" t="s">
        <v>215</v>
      </c>
      <c r="F165">
        <v>0</v>
      </c>
      <c r="P165"/>
      <c r="Q165"/>
      <c r="AG165" s="1" t="str">
        <v>DPLUS131</v>
      </c>
      <c r="AH165" s="1">
        <v>9</v>
      </c>
      <c r="AI165" s="1">
        <v>2024</v>
      </c>
      <c r="AJ165" s="1" t="str">
        <v>Y3</v>
      </c>
      <c r="AK165" s="1" t="str">
        <v>DPLUS-C01</v>
      </c>
      <c r="AL165" s="1">
        <v>0</v>
      </c>
    </row>
    <row r="166" spans="1:38" ht="15" x14ac:dyDescent="0.25">
      <c r="A166" t="s">
        <v>604</v>
      </c>
      <c r="B166">
        <v>9</v>
      </c>
      <c r="C166">
        <v>2022</v>
      </c>
      <c r="D166" t="s">
        <v>822</v>
      </c>
      <c r="E166" t="s">
        <v>190</v>
      </c>
      <c r="F166">
        <v>0</v>
      </c>
      <c r="P166"/>
      <c r="Q166"/>
      <c r="AG166" s="1" t="str">
        <v>DPLUS133</v>
      </c>
      <c r="AH166" s="1">
        <v>9</v>
      </c>
      <c r="AI166" s="1">
        <v>2022</v>
      </c>
      <c r="AJ166" s="1" t="str">
        <v>Y1</v>
      </c>
      <c r="AK166" s="1" t="str">
        <v>DPLUS-B02</v>
      </c>
      <c r="AL166" s="1">
        <v>0</v>
      </c>
    </row>
    <row r="167" spans="1:38" ht="15" x14ac:dyDescent="0.25">
      <c r="A167" t="s">
        <v>604</v>
      </c>
      <c r="B167">
        <v>9</v>
      </c>
      <c r="C167">
        <v>2023</v>
      </c>
      <c r="D167" t="s">
        <v>823</v>
      </c>
      <c r="E167" t="s">
        <v>190</v>
      </c>
      <c r="F167">
        <v>0</v>
      </c>
      <c r="P167"/>
      <c r="Q167"/>
      <c r="AG167" s="1" t="str">
        <v>DPLUS133</v>
      </c>
      <c r="AH167" s="1">
        <v>9</v>
      </c>
      <c r="AI167" s="1">
        <v>2023</v>
      </c>
      <c r="AJ167" s="1" t="str">
        <v>Y2</v>
      </c>
      <c r="AK167" s="1" t="str">
        <v>DPLUS-B02</v>
      </c>
      <c r="AL167" s="1">
        <v>0</v>
      </c>
    </row>
    <row r="168" spans="1:38" ht="15" x14ac:dyDescent="0.25">
      <c r="A168" t="s">
        <v>604</v>
      </c>
      <c r="B168">
        <v>9</v>
      </c>
      <c r="C168">
        <v>2024</v>
      </c>
      <c r="D168" t="s">
        <v>824</v>
      </c>
      <c r="E168" t="s">
        <v>190</v>
      </c>
      <c r="F168">
        <v>1</v>
      </c>
      <c r="P168"/>
      <c r="Q168"/>
      <c r="AG168" s="1" t="str">
        <v>DPLUS133</v>
      </c>
      <c r="AH168" s="1">
        <v>9</v>
      </c>
      <c r="AI168" s="1">
        <v>2024</v>
      </c>
      <c r="AJ168" s="1" t="str">
        <v>Y3</v>
      </c>
      <c r="AK168" s="1" t="str">
        <v>DPLUS-B02</v>
      </c>
      <c r="AL168" s="1">
        <v>1</v>
      </c>
    </row>
    <row r="169" spans="1:38" ht="15" x14ac:dyDescent="0.25">
      <c r="A169" t="s">
        <v>604</v>
      </c>
      <c r="B169">
        <v>9</v>
      </c>
      <c r="C169">
        <v>2022</v>
      </c>
      <c r="D169" t="s">
        <v>822</v>
      </c>
      <c r="E169" t="s">
        <v>217</v>
      </c>
      <c r="F169">
        <v>1</v>
      </c>
      <c r="P169"/>
      <c r="Q169"/>
      <c r="AG169" s="1" t="str">
        <v>DPLUS133</v>
      </c>
      <c r="AH169" s="1">
        <v>9</v>
      </c>
      <c r="AI169" s="1">
        <v>2022</v>
      </c>
      <c r="AJ169" s="1" t="str">
        <v>Y1</v>
      </c>
      <c r="AK169" s="1" t="str">
        <v>DPLUS-C02</v>
      </c>
      <c r="AL169" s="1">
        <v>1</v>
      </c>
    </row>
    <row r="170" spans="1:38" ht="15" x14ac:dyDescent="0.25">
      <c r="A170" t="s">
        <v>604</v>
      </c>
      <c r="B170">
        <v>9</v>
      </c>
      <c r="C170">
        <v>2023</v>
      </c>
      <c r="D170" t="s">
        <v>823</v>
      </c>
      <c r="E170" t="s">
        <v>217</v>
      </c>
      <c r="F170">
        <v>0</v>
      </c>
      <c r="P170"/>
      <c r="Q170"/>
      <c r="AG170" s="1" t="str">
        <v>DPLUS133</v>
      </c>
      <c r="AH170" s="1">
        <v>9</v>
      </c>
      <c r="AI170" s="1">
        <v>2023</v>
      </c>
      <c r="AJ170" s="1" t="str">
        <v>Y2</v>
      </c>
      <c r="AK170" s="1" t="str">
        <v>DPLUS-C02</v>
      </c>
      <c r="AL170" s="1">
        <v>0</v>
      </c>
    </row>
    <row r="171" spans="1:38" ht="15" x14ac:dyDescent="0.25">
      <c r="A171" t="s">
        <v>604</v>
      </c>
      <c r="B171">
        <v>9</v>
      </c>
      <c r="C171">
        <v>2024</v>
      </c>
      <c r="D171" t="s">
        <v>824</v>
      </c>
      <c r="E171" t="s">
        <v>217</v>
      </c>
      <c r="F171">
        <v>0</v>
      </c>
      <c r="P171"/>
      <c r="Q171"/>
      <c r="AG171" s="1" t="str">
        <v>DPLUS133</v>
      </c>
      <c r="AH171" s="1">
        <v>9</v>
      </c>
      <c r="AI171" s="1">
        <v>2024</v>
      </c>
      <c r="AJ171" s="1" t="str">
        <v>Y3</v>
      </c>
      <c r="AK171" s="1" t="str">
        <v>DPLUS-C02</v>
      </c>
      <c r="AL171" s="1">
        <v>0</v>
      </c>
    </row>
    <row r="172" spans="1:38" ht="15" x14ac:dyDescent="0.25">
      <c r="A172" t="s">
        <v>604</v>
      </c>
      <c r="B172">
        <v>9</v>
      </c>
      <c r="C172">
        <v>2022</v>
      </c>
      <c r="D172" t="s">
        <v>822</v>
      </c>
      <c r="E172" t="s">
        <v>240</v>
      </c>
      <c r="F172">
        <v>0</v>
      </c>
      <c r="P172"/>
      <c r="Q172"/>
      <c r="AG172" s="1" t="str">
        <v>DPLUS133</v>
      </c>
      <c r="AH172" s="1">
        <v>9</v>
      </c>
      <c r="AI172" s="1">
        <v>2022</v>
      </c>
      <c r="AJ172" s="1" t="str">
        <v>Y1</v>
      </c>
      <c r="AK172" s="1" t="str">
        <v>DPLUS-C13</v>
      </c>
      <c r="AL172" s="1">
        <v>0</v>
      </c>
    </row>
    <row r="173" spans="1:38" ht="15" x14ac:dyDescent="0.25">
      <c r="A173" t="s">
        <v>604</v>
      </c>
      <c r="B173">
        <v>9</v>
      </c>
      <c r="C173">
        <v>2023</v>
      </c>
      <c r="D173" t="s">
        <v>823</v>
      </c>
      <c r="E173" t="s">
        <v>240</v>
      </c>
      <c r="F173">
        <v>53</v>
      </c>
      <c r="P173"/>
      <c r="Q173"/>
      <c r="AG173" s="1" t="str">
        <v>DPLUS133</v>
      </c>
      <c r="AH173" s="1">
        <v>9</v>
      </c>
      <c r="AI173" s="1">
        <v>2023</v>
      </c>
      <c r="AJ173" s="1" t="str">
        <v>Y2</v>
      </c>
      <c r="AK173" s="1" t="str">
        <v>DPLUS-C13</v>
      </c>
      <c r="AL173" s="1">
        <v>53</v>
      </c>
    </row>
    <row r="174" spans="1:38" ht="15" x14ac:dyDescent="0.25">
      <c r="A174" t="s">
        <v>604</v>
      </c>
      <c r="B174">
        <v>9</v>
      </c>
      <c r="C174">
        <v>2024</v>
      </c>
      <c r="D174" t="s">
        <v>824</v>
      </c>
      <c r="E174" t="s">
        <v>240</v>
      </c>
      <c r="F174">
        <v>0</v>
      </c>
      <c r="P174"/>
      <c r="Q174"/>
      <c r="AG174" s="1" t="str">
        <v>DPLUS133</v>
      </c>
      <c r="AH174" s="1">
        <v>9</v>
      </c>
      <c r="AI174" s="1">
        <v>2024</v>
      </c>
      <c r="AJ174" s="1" t="str">
        <v>Y3</v>
      </c>
      <c r="AK174" s="1" t="str">
        <v>DPLUS-C13</v>
      </c>
      <c r="AL174" s="1">
        <v>0</v>
      </c>
    </row>
    <row r="175" spans="1:38" ht="15" x14ac:dyDescent="0.25">
      <c r="A175" t="s">
        <v>76</v>
      </c>
      <c r="B175">
        <v>9</v>
      </c>
      <c r="C175">
        <v>2022</v>
      </c>
      <c r="D175" t="s">
        <v>822</v>
      </c>
      <c r="E175" t="s">
        <v>164</v>
      </c>
      <c r="F175">
        <v>10</v>
      </c>
      <c r="P175"/>
      <c r="Q175"/>
      <c r="AG175" s="1" t="str">
        <v>DPLUS134</v>
      </c>
      <c r="AH175" s="1">
        <v>9</v>
      </c>
      <c r="AI175" s="1">
        <v>2022</v>
      </c>
      <c r="AJ175" s="1" t="str">
        <v>Y1</v>
      </c>
      <c r="AK175" s="1" t="str">
        <v>DPLUS-A01</v>
      </c>
      <c r="AL175" s="1">
        <v>10</v>
      </c>
    </row>
    <row r="176" spans="1:38" ht="15" x14ac:dyDescent="0.25">
      <c r="A176" t="s">
        <v>76</v>
      </c>
      <c r="B176">
        <v>9</v>
      </c>
      <c r="C176">
        <v>2023</v>
      </c>
      <c r="D176" t="s">
        <v>823</v>
      </c>
      <c r="E176" t="s">
        <v>164</v>
      </c>
      <c r="F176">
        <v>15</v>
      </c>
      <c r="P176"/>
      <c r="Q176"/>
      <c r="AG176" s="1" t="str">
        <v>DPLUS134</v>
      </c>
      <c r="AH176" s="1">
        <v>9</v>
      </c>
      <c r="AI176" s="1">
        <v>2023</v>
      </c>
      <c r="AJ176" s="1" t="str">
        <v>Y2</v>
      </c>
      <c r="AK176" s="1" t="str">
        <v>DPLUS-A01</v>
      </c>
      <c r="AL176" s="1">
        <v>15</v>
      </c>
    </row>
    <row r="177" spans="1:38" ht="15" x14ac:dyDescent="0.25">
      <c r="A177" t="s">
        <v>76</v>
      </c>
      <c r="B177">
        <v>9</v>
      </c>
      <c r="C177">
        <v>2024</v>
      </c>
      <c r="D177" t="s">
        <v>824</v>
      </c>
      <c r="E177" t="s">
        <v>164</v>
      </c>
      <c r="F177">
        <v>20</v>
      </c>
      <c r="P177"/>
      <c r="Q177"/>
      <c r="AG177" s="1" t="str">
        <v>DPLUS134</v>
      </c>
      <c r="AH177" s="1">
        <v>9</v>
      </c>
      <c r="AI177" s="1">
        <v>2024</v>
      </c>
      <c r="AJ177" s="1" t="str">
        <v>Y3</v>
      </c>
      <c r="AK177" s="1" t="str">
        <v>DPLUS-A01</v>
      </c>
      <c r="AL177" s="1">
        <v>20</v>
      </c>
    </row>
    <row r="178" spans="1:38" ht="15" x14ac:dyDescent="0.25">
      <c r="A178" t="s">
        <v>76</v>
      </c>
      <c r="B178">
        <v>9</v>
      </c>
      <c r="C178">
        <v>2022</v>
      </c>
      <c r="D178" t="s">
        <v>822</v>
      </c>
      <c r="E178" t="s">
        <v>169</v>
      </c>
      <c r="F178">
        <v>0</v>
      </c>
      <c r="P178"/>
      <c r="Q178"/>
      <c r="AG178" s="1" t="str">
        <v>DPLUS134</v>
      </c>
      <c r="AH178" s="1">
        <v>9</v>
      </c>
      <c r="AI178" s="1">
        <v>2022</v>
      </c>
      <c r="AJ178" s="1" t="str">
        <v>Y1</v>
      </c>
      <c r="AK178" s="1" t="str">
        <v>DPLUS-A03</v>
      </c>
      <c r="AL178" s="1">
        <v>0</v>
      </c>
    </row>
    <row r="179" spans="1:38" ht="15" x14ac:dyDescent="0.25">
      <c r="A179" t="s">
        <v>76</v>
      </c>
      <c r="B179">
        <v>9</v>
      </c>
      <c r="C179">
        <v>2023</v>
      </c>
      <c r="D179" t="s">
        <v>823</v>
      </c>
      <c r="E179" t="s">
        <v>169</v>
      </c>
      <c r="F179">
        <v>2</v>
      </c>
      <c r="P179"/>
      <c r="Q179"/>
      <c r="AG179" s="1" t="str">
        <v>DPLUS134</v>
      </c>
      <c r="AH179" s="1">
        <v>9</v>
      </c>
      <c r="AI179" s="1">
        <v>2023</v>
      </c>
      <c r="AJ179" s="1" t="str">
        <v>Y2</v>
      </c>
      <c r="AK179" s="1" t="str">
        <v>DPLUS-A03</v>
      </c>
      <c r="AL179" s="1">
        <v>2</v>
      </c>
    </row>
    <row r="180" spans="1:38" ht="15" x14ac:dyDescent="0.25">
      <c r="A180" t="s">
        <v>76</v>
      </c>
      <c r="B180">
        <v>9</v>
      </c>
      <c r="C180">
        <v>2024</v>
      </c>
      <c r="D180" t="s">
        <v>824</v>
      </c>
      <c r="E180" t="s">
        <v>169</v>
      </c>
      <c r="F180">
        <v>4</v>
      </c>
      <c r="P180"/>
      <c r="Q180"/>
      <c r="AG180" s="1" t="str">
        <v>DPLUS134</v>
      </c>
      <c r="AH180" s="1">
        <v>9</v>
      </c>
      <c r="AI180" s="1">
        <v>2024</v>
      </c>
      <c r="AJ180" s="1" t="str">
        <v>Y3</v>
      </c>
      <c r="AK180" s="1" t="str">
        <v>DPLUS-A03</v>
      </c>
      <c r="AL180" s="1">
        <v>4</v>
      </c>
    </row>
    <row r="181" spans="1:38" ht="15" x14ac:dyDescent="0.25">
      <c r="A181" t="s">
        <v>76</v>
      </c>
      <c r="B181">
        <v>9</v>
      </c>
      <c r="C181">
        <v>2022</v>
      </c>
      <c r="D181" t="s">
        <v>822</v>
      </c>
      <c r="E181" t="s">
        <v>188</v>
      </c>
      <c r="F181">
        <v>0</v>
      </c>
      <c r="P181"/>
      <c r="Q181"/>
      <c r="AG181" s="1" t="str">
        <v>DPLUS134</v>
      </c>
      <c r="AH181" s="1">
        <v>9</v>
      </c>
      <c r="AI181" s="1">
        <v>2022</v>
      </c>
      <c r="AJ181" s="1" t="str">
        <v>Y1</v>
      </c>
      <c r="AK181" s="1" t="str">
        <v>DPLUS-B01</v>
      </c>
      <c r="AL181" s="1">
        <v>0</v>
      </c>
    </row>
    <row r="182" spans="1:38" ht="15" x14ac:dyDescent="0.25">
      <c r="A182" t="s">
        <v>76</v>
      </c>
      <c r="B182">
        <v>9</v>
      </c>
      <c r="C182">
        <v>2023</v>
      </c>
      <c r="D182" t="s">
        <v>823</v>
      </c>
      <c r="E182" t="s">
        <v>188</v>
      </c>
      <c r="F182">
        <v>0</v>
      </c>
      <c r="P182"/>
      <c r="Q182"/>
      <c r="AG182" s="1" t="str">
        <v>DPLUS134</v>
      </c>
      <c r="AH182" s="1">
        <v>9</v>
      </c>
      <c r="AI182" s="1">
        <v>2023</v>
      </c>
      <c r="AJ182" s="1" t="str">
        <v>Y2</v>
      </c>
      <c r="AK182" s="1" t="str">
        <v>DPLUS-B01</v>
      </c>
      <c r="AL182" s="1">
        <v>0</v>
      </c>
    </row>
    <row r="183" spans="1:38" ht="15" x14ac:dyDescent="0.25">
      <c r="A183" t="s">
        <v>76</v>
      </c>
      <c r="B183">
        <v>9</v>
      </c>
      <c r="C183">
        <v>2024</v>
      </c>
      <c r="D183" t="s">
        <v>824</v>
      </c>
      <c r="E183" t="s">
        <v>188</v>
      </c>
      <c r="F183">
        <v>2</v>
      </c>
      <c r="P183"/>
      <c r="Q183"/>
      <c r="AG183" s="1" t="str">
        <v>DPLUS134</v>
      </c>
      <c r="AH183" s="1">
        <v>9</v>
      </c>
      <c r="AI183" s="1">
        <v>2024</v>
      </c>
      <c r="AJ183" s="1" t="str">
        <v>Y3</v>
      </c>
      <c r="AK183" s="1" t="str">
        <v>DPLUS-B01</v>
      </c>
      <c r="AL183" s="1">
        <v>2</v>
      </c>
    </row>
    <row r="184" spans="1:38" ht="15" x14ac:dyDescent="0.25">
      <c r="A184" t="s">
        <v>76</v>
      </c>
      <c r="B184">
        <v>9</v>
      </c>
      <c r="C184">
        <v>2022</v>
      </c>
      <c r="D184" t="s">
        <v>822</v>
      </c>
      <c r="E184" t="s">
        <v>215</v>
      </c>
      <c r="F184">
        <v>0</v>
      </c>
      <c r="P184"/>
      <c r="Q184"/>
      <c r="AG184" s="1" t="str">
        <v>DPLUS134</v>
      </c>
      <c r="AH184" s="1">
        <v>9</v>
      </c>
      <c r="AI184" s="1">
        <v>2022</v>
      </c>
      <c r="AJ184" s="1" t="str">
        <v>Y1</v>
      </c>
      <c r="AK184" s="1" t="str">
        <v>DPLUS-C01</v>
      </c>
      <c r="AL184" s="1">
        <v>0</v>
      </c>
    </row>
    <row r="185" spans="1:38" ht="15" x14ac:dyDescent="0.25">
      <c r="A185" t="s">
        <v>76</v>
      </c>
      <c r="B185">
        <v>9</v>
      </c>
      <c r="C185">
        <v>2023</v>
      </c>
      <c r="D185" t="s">
        <v>823</v>
      </c>
      <c r="E185" t="s">
        <v>215</v>
      </c>
      <c r="F185">
        <v>0</v>
      </c>
      <c r="P185"/>
      <c r="Q185"/>
      <c r="AG185" s="1" t="str">
        <v>DPLUS134</v>
      </c>
      <c r="AH185" s="1">
        <v>9</v>
      </c>
      <c r="AI185" s="1">
        <v>2023</v>
      </c>
      <c r="AJ185" s="1" t="str">
        <v>Y2</v>
      </c>
      <c r="AK185" s="1" t="str">
        <v>DPLUS-C01</v>
      </c>
      <c r="AL185" s="1">
        <v>0</v>
      </c>
    </row>
    <row r="186" spans="1:38" ht="15" x14ac:dyDescent="0.25">
      <c r="A186" t="s">
        <v>76</v>
      </c>
      <c r="B186">
        <v>9</v>
      </c>
      <c r="C186">
        <v>2024</v>
      </c>
      <c r="D186" t="s">
        <v>824</v>
      </c>
      <c r="E186" t="s">
        <v>215</v>
      </c>
      <c r="F186">
        <v>2</v>
      </c>
      <c r="P186"/>
      <c r="Q186"/>
      <c r="AG186" s="1" t="str">
        <v>DPLUS134</v>
      </c>
      <c r="AH186" s="1">
        <v>9</v>
      </c>
      <c r="AI186" s="1">
        <v>2024</v>
      </c>
      <c r="AJ186" s="1" t="str">
        <v>Y3</v>
      </c>
      <c r="AK186" s="1" t="str">
        <v>DPLUS-C01</v>
      </c>
      <c r="AL186" s="1">
        <v>2</v>
      </c>
    </row>
    <row r="187" spans="1:38" ht="15" x14ac:dyDescent="0.25">
      <c r="A187" t="s">
        <v>76</v>
      </c>
      <c r="B187">
        <v>9</v>
      </c>
      <c r="C187">
        <v>2022</v>
      </c>
      <c r="D187" t="s">
        <v>822</v>
      </c>
      <c r="E187" t="s">
        <v>257</v>
      </c>
      <c r="F187">
        <v>10</v>
      </c>
      <c r="P187"/>
      <c r="Q187"/>
      <c r="AG187" s="1" t="str">
        <v>DPLUS134</v>
      </c>
      <c r="AH187" s="1">
        <v>9</v>
      </c>
      <c r="AI187" s="1">
        <v>2022</v>
      </c>
      <c r="AJ187" s="1" t="str">
        <v>Y1</v>
      </c>
      <c r="AK187" s="1" t="str">
        <v>DPLUS-D01</v>
      </c>
      <c r="AL187" s="1">
        <v>10</v>
      </c>
    </row>
    <row r="188" spans="1:38" ht="15" x14ac:dyDescent="0.25">
      <c r="A188" t="s">
        <v>76</v>
      </c>
      <c r="B188">
        <v>9</v>
      </c>
      <c r="C188">
        <v>2023</v>
      </c>
      <c r="D188" t="s">
        <v>823</v>
      </c>
      <c r="E188" t="s">
        <v>257</v>
      </c>
      <c r="F188">
        <v>5</v>
      </c>
      <c r="P188"/>
      <c r="Q188"/>
      <c r="AG188" s="1" t="str">
        <v>DPLUS134</v>
      </c>
      <c r="AH188" s="1">
        <v>9</v>
      </c>
      <c r="AI188" s="1">
        <v>2023</v>
      </c>
      <c r="AJ188" s="1" t="str">
        <v>Y2</v>
      </c>
      <c r="AK188" s="1" t="str">
        <v>DPLUS-D01</v>
      </c>
      <c r="AL188" s="1">
        <v>5</v>
      </c>
    </row>
    <row r="189" spans="1:38" ht="15" x14ac:dyDescent="0.25">
      <c r="A189" t="s">
        <v>76</v>
      </c>
      <c r="B189">
        <v>9</v>
      </c>
      <c r="C189">
        <v>2024</v>
      </c>
      <c r="D189" t="s">
        <v>824</v>
      </c>
      <c r="E189" t="s">
        <v>257</v>
      </c>
      <c r="F189">
        <v>5</v>
      </c>
      <c r="P189"/>
      <c r="Q189"/>
      <c r="AG189" s="1" t="str">
        <v>DPLUS134</v>
      </c>
      <c r="AH189" s="1">
        <v>9</v>
      </c>
      <c r="AI189" s="1">
        <v>2024</v>
      </c>
      <c r="AJ189" s="1" t="str">
        <v>Y3</v>
      </c>
      <c r="AK189" s="1" t="str">
        <v>DPLUS-D01</v>
      </c>
      <c r="AL189" s="1">
        <v>5</v>
      </c>
    </row>
    <row r="190" spans="1:38" ht="15" x14ac:dyDescent="0.25">
      <c r="A190" t="s">
        <v>78</v>
      </c>
      <c r="B190">
        <v>9</v>
      </c>
      <c r="C190">
        <v>2022</v>
      </c>
      <c r="D190" t="s">
        <v>822</v>
      </c>
      <c r="E190" t="s">
        <v>215</v>
      </c>
      <c r="F190">
        <v>0</v>
      </c>
      <c r="P190"/>
      <c r="Q190"/>
      <c r="AG190" s="1" t="str">
        <v>DPLUS135</v>
      </c>
      <c r="AH190" s="1">
        <v>9</v>
      </c>
      <c r="AI190" s="1">
        <v>2022</v>
      </c>
      <c r="AJ190" s="1" t="str">
        <v>Y1</v>
      </c>
      <c r="AK190" s="1" t="str">
        <v>DPLUS-C01</v>
      </c>
      <c r="AL190" s="1">
        <v>0</v>
      </c>
    </row>
    <row r="191" spans="1:38" ht="14.25" customHeight="1" x14ac:dyDescent="0.25">
      <c r="A191" t="s">
        <v>78</v>
      </c>
      <c r="B191">
        <v>9</v>
      </c>
      <c r="C191">
        <v>2023</v>
      </c>
      <c r="D191" t="s">
        <v>823</v>
      </c>
      <c r="E191" t="s">
        <v>215</v>
      </c>
      <c r="F191">
        <v>19</v>
      </c>
      <c r="AG191" s="1" t="str">
        <v>DPLUS135</v>
      </c>
      <c r="AH191" s="1">
        <v>9</v>
      </c>
      <c r="AI191" s="1">
        <v>2023</v>
      </c>
      <c r="AJ191" s="1" t="str">
        <v>Y2</v>
      </c>
      <c r="AK191" s="1" t="str">
        <v>DPLUS-C01</v>
      </c>
      <c r="AL191" s="1">
        <v>19</v>
      </c>
    </row>
    <row r="192" spans="1:38" ht="14.25" customHeight="1" x14ac:dyDescent="0.25">
      <c r="A192" t="s">
        <v>78</v>
      </c>
      <c r="B192">
        <v>9</v>
      </c>
      <c r="C192">
        <v>2024</v>
      </c>
      <c r="D192" t="s">
        <v>824</v>
      </c>
      <c r="E192" t="s">
        <v>215</v>
      </c>
      <c r="F192">
        <v>0</v>
      </c>
      <c r="AG192" s="1" t="str">
        <v>DPLUS135</v>
      </c>
      <c r="AH192" s="1">
        <v>9</v>
      </c>
      <c r="AI192" s="1">
        <v>2024</v>
      </c>
      <c r="AJ192" s="1" t="str">
        <v>Y3</v>
      </c>
      <c r="AK192" s="1" t="str">
        <v>DPLUS-C01</v>
      </c>
      <c r="AL192" s="1">
        <v>0</v>
      </c>
    </row>
    <row r="193" spans="1:38" ht="14.25" customHeight="1" x14ac:dyDescent="0.25">
      <c r="A193" t="s">
        <v>308</v>
      </c>
      <c r="B193">
        <v>9</v>
      </c>
      <c r="C193">
        <v>2022</v>
      </c>
      <c r="D193" t="s">
        <v>822</v>
      </c>
      <c r="E193" t="s">
        <v>164</v>
      </c>
      <c r="F193">
        <v>0</v>
      </c>
      <c r="AG193" s="1" t="str">
        <v>DPLUS137</v>
      </c>
      <c r="AH193" s="1">
        <v>9</v>
      </c>
      <c r="AI193" s="1">
        <v>2022</v>
      </c>
      <c r="AJ193" s="1" t="str">
        <v>Y1</v>
      </c>
      <c r="AK193" s="1" t="str">
        <v>DPLUS-A01</v>
      </c>
      <c r="AL193" s="1">
        <v>0</v>
      </c>
    </row>
    <row r="194" spans="1:38" ht="14.25" customHeight="1" x14ac:dyDescent="0.25">
      <c r="A194" t="s">
        <v>308</v>
      </c>
      <c r="B194">
        <v>9</v>
      </c>
      <c r="C194">
        <v>2023</v>
      </c>
      <c r="D194" t="s">
        <v>823</v>
      </c>
      <c r="E194" t="s">
        <v>164</v>
      </c>
      <c r="F194">
        <v>0</v>
      </c>
      <c r="AG194" s="1" t="str">
        <v>DPLUS137</v>
      </c>
      <c r="AH194" s="1">
        <v>9</v>
      </c>
      <c r="AI194" s="1">
        <v>2023</v>
      </c>
      <c r="AJ194" s="1" t="str">
        <v>Y2</v>
      </c>
      <c r="AK194" s="1" t="str">
        <v>DPLUS-A01</v>
      </c>
      <c r="AL194" s="1">
        <v>0</v>
      </c>
    </row>
    <row r="195" spans="1:38" ht="14.25" customHeight="1" x14ac:dyDescent="0.25">
      <c r="A195" t="s">
        <v>308</v>
      </c>
      <c r="B195">
        <v>9</v>
      </c>
      <c r="C195">
        <v>2024</v>
      </c>
      <c r="D195" t="s">
        <v>824</v>
      </c>
      <c r="E195" t="s">
        <v>164</v>
      </c>
      <c r="F195">
        <v>7</v>
      </c>
      <c r="AG195" s="1" t="str">
        <v>DPLUS137</v>
      </c>
      <c r="AH195" s="1">
        <v>9</v>
      </c>
      <c r="AI195" s="1">
        <v>2024</v>
      </c>
      <c r="AJ195" s="1" t="str">
        <v>Y3</v>
      </c>
      <c r="AK195" s="1" t="str">
        <v>DPLUS-A01</v>
      </c>
      <c r="AL195" s="1">
        <v>7</v>
      </c>
    </row>
    <row r="196" spans="1:38" ht="14.25" customHeight="1" x14ac:dyDescent="0.25">
      <c r="A196" t="s">
        <v>308</v>
      </c>
      <c r="B196">
        <v>9</v>
      </c>
      <c r="C196">
        <v>2022</v>
      </c>
      <c r="D196" t="s">
        <v>822</v>
      </c>
      <c r="E196" t="s">
        <v>188</v>
      </c>
      <c r="F196">
        <v>0</v>
      </c>
      <c r="AG196" s="1" t="str">
        <v>DPLUS137</v>
      </c>
      <c r="AH196" s="1">
        <v>9</v>
      </c>
      <c r="AI196" s="1">
        <v>2022</v>
      </c>
      <c r="AJ196" s="1" t="str">
        <v>Y1</v>
      </c>
      <c r="AK196" s="1" t="str">
        <v>DPLUS-B01</v>
      </c>
      <c r="AL196" s="1">
        <v>0</v>
      </c>
    </row>
    <row r="197" spans="1:38" ht="14.25" customHeight="1" x14ac:dyDescent="0.25">
      <c r="A197" t="s">
        <v>308</v>
      </c>
      <c r="B197">
        <v>9</v>
      </c>
      <c r="C197">
        <v>2023</v>
      </c>
      <c r="D197" t="s">
        <v>823</v>
      </c>
      <c r="E197" t="s">
        <v>188</v>
      </c>
      <c r="F197">
        <v>0</v>
      </c>
      <c r="AG197" s="1" t="str">
        <v>DPLUS137</v>
      </c>
      <c r="AH197" s="1">
        <v>9</v>
      </c>
      <c r="AI197" s="1">
        <v>2023</v>
      </c>
      <c r="AJ197" s="1" t="str">
        <v>Y2</v>
      </c>
      <c r="AK197" s="1" t="str">
        <v>DPLUS-B01</v>
      </c>
      <c r="AL197" s="1">
        <v>0</v>
      </c>
    </row>
    <row r="198" spans="1:38" ht="14.25" customHeight="1" x14ac:dyDescent="0.25">
      <c r="A198" t="s">
        <v>308</v>
      </c>
      <c r="B198">
        <v>9</v>
      </c>
      <c r="C198">
        <v>2024</v>
      </c>
      <c r="D198" t="s">
        <v>824</v>
      </c>
      <c r="E198" t="s">
        <v>188</v>
      </c>
      <c r="F198">
        <v>6</v>
      </c>
      <c r="AG198" s="1" t="str">
        <v>DPLUS137</v>
      </c>
      <c r="AH198" s="1">
        <v>9</v>
      </c>
      <c r="AI198" s="1">
        <v>2024</v>
      </c>
      <c r="AJ198" s="1" t="str">
        <v>Y3</v>
      </c>
      <c r="AK198" s="1" t="str">
        <v>DPLUS-B01</v>
      </c>
      <c r="AL198" s="1">
        <v>6</v>
      </c>
    </row>
    <row r="199" spans="1:38" ht="14.25" customHeight="1" x14ac:dyDescent="0.25">
      <c r="A199" t="s">
        <v>308</v>
      </c>
      <c r="B199">
        <v>9</v>
      </c>
      <c r="C199">
        <v>2022</v>
      </c>
      <c r="D199" t="s">
        <v>822</v>
      </c>
      <c r="E199" t="s">
        <v>257</v>
      </c>
      <c r="F199">
        <v>0</v>
      </c>
      <c r="AG199" s="1" t="str">
        <v>DPLUS137</v>
      </c>
      <c r="AH199" s="1">
        <v>9</v>
      </c>
      <c r="AI199" s="1">
        <v>2022</v>
      </c>
      <c r="AJ199" s="1" t="str">
        <v>Y1</v>
      </c>
      <c r="AK199" s="1" t="str">
        <v>DPLUS-D01</v>
      </c>
      <c r="AL199" s="1">
        <v>0</v>
      </c>
    </row>
    <row r="200" spans="1:38" ht="14.25" customHeight="1" x14ac:dyDescent="0.25">
      <c r="A200" t="s">
        <v>308</v>
      </c>
      <c r="B200">
        <v>9</v>
      </c>
      <c r="C200">
        <v>2023</v>
      </c>
      <c r="D200" t="s">
        <v>823</v>
      </c>
      <c r="E200" t="s">
        <v>257</v>
      </c>
      <c r="F200">
        <v>0</v>
      </c>
      <c r="AG200" s="1" t="str">
        <v>DPLUS137</v>
      </c>
      <c r="AH200" s="1">
        <v>9</v>
      </c>
      <c r="AI200" s="1">
        <v>2023</v>
      </c>
      <c r="AJ200" s="1" t="str">
        <v>Y2</v>
      </c>
      <c r="AK200" s="1" t="str">
        <v>DPLUS-D01</v>
      </c>
      <c r="AL200" s="1">
        <v>0</v>
      </c>
    </row>
    <row r="201" spans="1:38" ht="14.25" customHeight="1" x14ac:dyDescent="0.25">
      <c r="A201" t="s">
        <v>308</v>
      </c>
      <c r="B201">
        <v>9</v>
      </c>
      <c r="C201">
        <v>2024</v>
      </c>
      <c r="D201" t="s">
        <v>824</v>
      </c>
      <c r="E201" t="s">
        <v>257</v>
      </c>
      <c r="F201">
        <v>0</v>
      </c>
      <c r="AG201" s="1" t="str">
        <v>DPLUS137</v>
      </c>
      <c r="AH201" s="1">
        <v>9</v>
      </c>
      <c r="AI201" s="1">
        <v>2024</v>
      </c>
      <c r="AJ201" s="1" t="str">
        <v>Y3</v>
      </c>
      <c r="AK201" s="1" t="str">
        <v>DPLUS-D01</v>
      </c>
      <c r="AL201" s="1">
        <v>0</v>
      </c>
    </row>
    <row r="202" spans="1:38" ht="14.25" customHeight="1" x14ac:dyDescent="0.25">
      <c r="A202" t="s">
        <v>606</v>
      </c>
      <c r="B202">
        <v>9</v>
      </c>
      <c r="C202">
        <v>2022</v>
      </c>
      <c r="D202" t="s">
        <v>822</v>
      </c>
      <c r="E202" t="s">
        <v>169</v>
      </c>
      <c r="F202">
        <v>1</v>
      </c>
      <c r="AG202" s="1" t="str">
        <v>DPLUS138</v>
      </c>
      <c r="AH202" s="1">
        <v>9</v>
      </c>
      <c r="AI202" s="1">
        <v>2022</v>
      </c>
      <c r="AJ202" s="1" t="str">
        <v>Y1</v>
      </c>
      <c r="AK202" s="1" t="str">
        <v>DPLUS-A03</v>
      </c>
      <c r="AL202" s="1">
        <v>1</v>
      </c>
    </row>
    <row r="203" spans="1:38" ht="14.25" customHeight="1" x14ac:dyDescent="0.25">
      <c r="A203" t="s">
        <v>606</v>
      </c>
      <c r="B203">
        <v>9</v>
      </c>
      <c r="C203">
        <v>2023</v>
      </c>
      <c r="D203" t="s">
        <v>823</v>
      </c>
      <c r="E203" t="s">
        <v>169</v>
      </c>
      <c r="F203">
        <v>1</v>
      </c>
      <c r="AG203" s="1" t="str">
        <v>DPLUS138</v>
      </c>
      <c r="AH203" s="1">
        <v>9</v>
      </c>
      <c r="AI203" s="1">
        <v>2023</v>
      </c>
      <c r="AJ203" s="1" t="str">
        <v>Y2</v>
      </c>
      <c r="AK203" s="1" t="str">
        <v>DPLUS-A03</v>
      </c>
      <c r="AL203" s="1">
        <v>1</v>
      </c>
    </row>
    <row r="204" spans="1:38" ht="14.25" customHeight="1" x14ac:dyDescent="0.25">
      <c r="A204" t="s">
        <v>606</v>
      </c>
      <c r="B204">
        <v>9</v>
      </c>
      <c r="C204">
        <v>2024</v>
      </c>
      <c r="D204" t="s">
        <v>824</v>
      </c>
      <c r="E204" t="s">
        <v>169</v>
      </c>
      <c r="F204">
        <v>0</v>
      </c>
      <c r="AG204" s="1" t="str">
        <v>DPLUS138</v>
      </c>
      <c r="AH204" s="1">
        <v>9</v>
      </c>
      <c r="AI204" s="1">
        <v>2024</v>
      </c>
      <c r="AJ204" s="1" t="str">
        <v>Y3</v>
      </c>
      <c r="AK204" s="1" t="str">
        <v>DPLUS-A03</v>
      </c>
      <c r="AL204" s="1">
        <v>0</v>
      </c>
    </row>
    <row r="205" spans="1:38" ht="14.25" customHeight="1" x14ac:dyDescent="0.25">
      <c r="A205" t="s">
        <v>606</v>
      </c>
      <c r="B205">
        <v>9</v>
      </c>
      <c r="C205">
        <v>2022</v>
      </c>
      <c r="D205" t="s">
        <v>822</v>
      </c>
      <c r="E205" t="s">
        <v>179</v>
      </c>
      <c r="F205">
        <v>0</v>
      </c>
      <c r="AG205" s="1" t="str">
        <v>DPLUS138</v>
      </c>
      <c r="AH205" s="1">
        <v>9</v>
      </c>
      <c r="AI205" s="1">
        <v>2022</v>
      </c>
      <c r="AJ205" s="1" t="str">
        <v>Y1</v>
      </c>
      <c r="AK205" s="1" t="str">
        <v>DPLUS-A07</v>
      </c>
      <c r="AL205" s="1">
        <v>0</v>
      </c>
    </row>
    <row r="206" spans="1:38" ht="14.25" customHeight="1" x14ac:dyDescent="0.25">
      <c r="A206" t="s">
        <v>606</v>
      </c>
      <c r="B206">
        <v>9</v>
      </c>
      <c r="C206">
        <v>2023</v>
      </c>
      <c r="D206" t="s">
        <v>823</v>
      </c>
      <c r="E206" t="s">
        <v>179</v>
      </c>
      <c r="F206">
        <v>1</v>
      </c>
      <c r="AG206" s="1" t="str">
        <v>DPLUS138</v>
      </c>
      <c r="AH206" s="1">
        <v>9</v>
      </c>
      <c r="AI206" s="1">
        <v>2023</v>
      </c>
      <c r="AJ206" s="1" t="str">
        <v>Y2</v>
      </c>
      <c r="AK206" s="1" t="str">
        <v>DPLUS-A07</v>
      </c>
      <c r="AL206" s="1">
        <v>1</v>
      </c>
    </row>
    <row r="207" spans="1:38" ht="14.25" customHeight="1" x14ac:dyDescent="0.25">
      <c r="A207" t="s">
        <v>606</v>
      </c>
      <c r="B207">
        <v>9</v>
      </c>
      <c r="C207">
        <v>2024</v>
      </c>
      <c r="D207" t="s">
        <v>824</v>
      </c>
      <c r="E207" t="s">
        <v>179</v>
      </c>
      <c r="F207">
        <v>0</v>
      </c>
      <c r="AG207" s="1" t="str">
        <v>DPLUS138</v>
      </c>
      <c r="AH207" s="1">
        <v>9</v>
      </c>
      <c r="AI207" s="1">
        <v>2024</v>
      </c>
      <c r="AJ207" s="1" t="str">
        <v>Y3</v>
      </c>
      <c r="AK207" s="1" t="str">
        <v>DPLUS-A07</v>
      </c>
      <c r="AL207" s="1">
        <v>0</v>
      </c>
    </row>
    <row r="208" spans="1:38" ht="14.25" customHeight="1" x14ac:dyDescent="0.25">
      <c r="A208" t="s">
        <v>606</v>
      </c>
      <c r="B208">
        <v>9</v>
      </c>
      <c r="C208">
        <v>2022</v>
      </c>
      <c r="D208" t="s">
        <v>822</v>
      </c>
      <c r="E208" t="s">
        <v>188</v>
      </c>
      <c r="F208">
        <v>0</v>
      </c>
      <c r="AG208" s="1" t="str">
        <v>DPLUS138</v>
      </c>
      <c r="AH208" s="1">
        <v>9</v>
      </c>
      <c r="AI208" s="1">
        <v>2022</v>
      </c>
      <c r="AJ208" s="1" t="str">
        <v>Y1</v>
      </c>
      <c r="AK208" s="1" t="str">
        <v>DPLUS-B01</v>
      </c>
      <c r="AL208" s="1">
        <v>0</v>
      </c>
    </row>
    <row r="209" spans="1:38" ht="14.25" customHeight="1" x14ac:dyDescent="0.25">
      <c r="A209" t="s">
        <v>606</v>
      </c>
      <c r="B209">
        <v>9</v>
      </c>
      <c r="C209">
        <v>2023</v>
      </c>
      <c r="D209" t="s">
        <v>823</v>
      </c>
      <c r="E209" t="s">
        <v>188</v>
      </c>
      <c r="F209">
        <v>1</v>
      </c>
      <c r="AG209" s="1" t="str">
        <v>DPLUS138</v>
      </c>
      <c r="AH209" s="1">
        <v>9</v>
      </c>
      <c r="AI209" s="1">
        <v>2023</v>
      </c>
      <c r="AJ209" s="1" t="str">
        <v>Y2</v>
      </c>
      <c r="AK209" s="1" t="str">
        <v>DPLUS-B01</v>
      </c>
      <c r="AL209" s="1">
        <v>1</v>
      </c>
    </row>
    <row r="210" spans="1:38" ht="14.25" customHeight="1" x14ac:dyDescent="0.25">
      <c r="A210" t="s">
        <v>606</v>
      </c>
      <c r="B210">
        <v>9</v>
      </c>
      <c r="C210">
        <v>2024</v>
      </c>
      <c r="D210" t="s">
        <v>824</v>
      </c>
      <c r="E210" t="s">
        <v>188</v>
      </c>
      <c r="F210">
        <v>1</v>
      </c>
      <c r="AG210" s="1" t="str">
        <v>DPLUS138</v>
      </c>
      <c r="AH210" s="1">
        <v>9</v>
      </c>
      <c r="AI210" s="1">
        <v>2024</v>
      </c>
      <c r="AJ210" s="1" t="str">
        <v>Y3</v>
      </c>
      <c r="AK210" s="1" t="str">
        <v>DPLUS-B01</v>
      </c>
      <c r="AL210" s="1">
        <v>1</v>
      </c>
    </row>
    <row r="211" spans="1:38" ht="14.25" customHeight="1" x14ac:dyDescent="0.25">
      <c r="A211" t="s">
        <v>606</v>
      </c>
      <c r="B211">
        <v>9</v>
      </c>
      <c r="C211">
        <v>2022</v>
      </c>
      <c r="D211" t="s">
        <v>822</v>
      </c>
      <c r="E211" t="s">
        <v>219</v>
      </c>
      <c r="F211">
        <v>0</v>
      </c>
      <c r="AG211" s="1" t="str">
        <v>DPLUS138</v>
      </c>
      <c r="AH211" s="1">
        <v>9</v>
      </c>
      <c r="AI211" s="1">
        <v>2022</v>
      </c>
      <c r="AJ211" s="1" t="str">
        <v>Y1</v>
      </c>
      <c r="AK211" s="1" t="str">
        <v>DPLUS-C03</v>
      </c>
      <c r="AL211" s="1">
        <v>0</v>
      </c>
    </row>
    <row r="212" spans="1:38" ht="14.25" customHeight="1" x14ac:dyDescent="0.25">
      <c r="A212" t="s">
        <v>606</v>
      </c>
      <c r="B212">
        <v>9</v>
      </c>
      <c r="C212">
        <v>2023</v>
      </c>
      <c r="D212" t="s">
        <v>823</v>
      </c>
      <c r="E212" t="s">
        <v>219</v>
      </c>
      <c r="F212">
        <v>0</v>
      </c>
      <c r="AG212" s="1" t="str">
        <v>DPLUS138</v>
      </c>
      <c r="AH212" s="1">
        <v>9</v>
      </c>
      <c r="AI212" s="1">
        <v>2023</v>
      </c>
      <c r="AJ212" s="1" t="str">
        <v>Y2</v>
      </c>
      <c r="AK212" s="1" t="str">
        <v>DPLUS-C03</v>
      </c>
      <c r="AL212" s="1">
        <v>0</v>
      </c>
    </row>
    <row r="213" spans="1:38" ht="14.25" customHeight="1" x14ac:dyDescent="0.25">
      <c r="A213" t="s">
        <v>606</v>
      </c>
      <c r="B213">
        <v>9</v>
      </c>
      <c r="C213">
        <v>2024</v>
      </c>
      <c r="D213" t="s">
        <v>824</v>
      </c>
      <c r="E213" t="s">
        <v>219</v>
      </c>
      <c r="F213">
        <v>1</v>
      </c>
      <c r="AG213" s="1" t="str">
        <v>DPLUS138</v>
      </c>
      <c r="AH213" s="1">
        <v>9</v>
      </c>
      <c r="AI213" s="1">
        <v>2024</v>
      </c>
      <c r="AJ213" s="1" t="str">
        <v>Y3</v>
      </c>
      <c r="AK213" s="1" t="str">
        <v>DPLUS-C03</v>
      </c>
      <c r="AL213" s="1">
        <v>1</v>
      </c>
    </row>
    <row r="214" spans="1:38" ht="14.25" customHeight="1" x14ac:dyDescent="0.25">
      <c r="A214" t="s">
        <v>82</v>
      </c>
      <c r="B214">
        <v>9</v>
      </c>
      <c r="C214">
        <v>2022</v>
      </c>
      <c r="D214" t="s">
        <v>822</v>
      </c>
      <c r="E214" t="s">
        <v>164</v>
      </c>
      <c r="F214">
        <v>20</v>
      </c>
      <c r="AG214" s="1" t="str">
        <v>DPLUS140</v>
      </c>
      <c r="AH214" s="1">
        <v>9</v>
      </c>
      <c r="AI214" s="1">
        <v>2022</v>
      </c>
      <c r="AJ214" s="1" t="str">
        <v>Y1</v>
      </c>
      <c r="AK214" s="1" t="str">
        <v>DPLUS-A01</v>
      </c>
      <c r="AL214" s="1">
        <v>20</v>
      </c>
    </row>
    <row r="215" spans="1:38" ht="14.25" customHeight="1" x14ac:dyDescent="0.25">
      <c r="A215" t="s">
        <v>82</v>
      </c>
      <c r="B215">
        <v>9</v>
      </c>
      <c r="C215">
        <v>2023</v>
      </c>
      <c r="D215" t="s">
        <v>823</v>
      </c>
      <c r="E215" t="s">
        <v>164</v>
      </c>
      <c r="F215">
        <v>0</v>
      </c>
      <c r="AG215" s="1" t="str">
        <v>DPLUS140</v>
      </c>
      <c r="AH215" s="1">
        <v>9</v>
      </c>
      <c r="AI215" s="1">
        <v>2023</v>
      </c>
      <c r="AJ215" s="1" t="str">
        <v>Y2</v>
      </c>
      <c r="AK215" s="1" t="str">
        <v>DPLUS-A01</v>
      </c>
      <c r="AL215" s="1">
        <v>0</v>
      </c>
    </row>
    <row r="216" spans="1:38" ht="14.25" customHeight="1" x14ac:dyDescent="0.25">
      <c r="A216" t="s">
        <v>82</v>
      </c>
      <c r="B216">
        <v>9</v>
      </c>
      <c r="C216">
        <v>2024</v>
      </c>
      <c r="D216" t="s">
        <v>824</v>
      </c>
      <c r="E216" t="s">
        <v>164</v>
      </c>
      <c r="F216">
        <v>0</v>
      </c>
      <c r="AG216" s="1" t="str">
        <v>DPLUS140</v>
      </c>
      <c r="AH216" s="1">
        <v>9</v>
      </c>
      <c r="AI216" s="1">
        <v>2024</v>
      </c>
      <c r="AJ216" s="1" t="str">
        <v>Y3</v>
      </c>
      <c r="AK216" s="1" t="str">
        <v>DPLUS-A01</v>
      </c>
      <c r="AL216" s="1">
        <v>0</v>
      </c>
    </row>
    <row r="217" spans="1:38" ht="14.25" customHeight="1" x14ac:dyDescent="0.25">
      <c r="A217" t="s">
        <v>82</v>
      </c>
      <c r="B217">
        <v>9</v>
      </c>
      <c r="C217">
        <v>2022</v>
      </c>
      <c r="D217" t="s">
        <v>822</v>
      </c>
      <c r="E217" t="s">
        <v>250</v>
      </c>
      <c r="F217">
        <v>1</v>
      </c>
      <c r="AG217" s="1" t="str">
        <v>DPLUS140</v>
      </c>
      <c r="AH217" s="1">
        <v>9</v>
      </c>
      <c r="AI217" s="1">
        <v>2022</v>
      </c>
      <c r="AJ217" s="1" t="str">
        <v>Y1</v>
      </c>
      <c r="AK217" s="1" t="str">
        <v>DPLUS-C17</v>
      </c>
      <c r="AL217" s="1">
        <v>1</v>
      </c>
    </row>
    <row r="218" spans="1:38" ht="14.25" customHeight="1" x14ac:dyDescent="0.25">
      <c r="A218" t="s">
        <v>82</v>
      </c>
      <c r="B218">
        <v>9</v>
      </c>
      <c r="C218">
        <v>2023</v>
      </c>
      <c r="D218" t="s">
        <v>823</v>
      </c>
      <c r="E218" t="s">
        <v>250</v>
      </c>
      <c r="F218">
        <v>0</v>
      </c>
      <c r="AG218" s="1" t="str">
        <v>DPLUS140</v>
      </c>
      <c r="AH218" s="1">
        <v>9</v>
      </c>
      <c r="AI218" s="1">
        <v>2023</v>
      </c>
      <c r="AJ218" s="1" t="str">
        <v>Y2</v>
      </c>
      <c r="AK218" s="1" t="str">
        <v>DPLUS-C17</v>
      </c>
      <c r="AL218" s="1">
        <v>0</v>
      </c>
    </row>
    <row r="219" spans="1:38" ht="14.25" customHeight="1" x14ac:dyDescent="0.25">
      <c r="A219" t="s">
        <v>82</v>
      </c>
      <c r="B219">
        <v>9</v>
      </c>
      <c r="C219">
        <v>2024</v>
      </c>
      <c r="D219" t="s">
        <v>824</v>
      </c>
      <c r="E219" t="s">
        <v>250</v>
      </c>
      <c r="F219">
        <v>0</v>
      </c>
      <c r="AG219" s="1" t="str">
        <v>DPLUS140</v>
      </c>
      <c r="AH219" s="1">
        <v>9</v>
      </c>
      <c r="AI219" s="1">
        <v>2024</v>
      </c>
      <c r="AJ219" s="1" t="str">
        <v>Y3</v>
      </c>
      <c r="AK219" s="1" t="str">
        <v>DPLUS-C17</v>
      </c>
      <c r="AL219" s="1">
        <v>0</v>
      </c>
    </row>
    <row r="220" spans="1:38" ht="14.25" customHeight="1" x14ac:dyDescent="0.25">
      <c r="A220" t="s">
        <v>84</v>
      </c>
      <c r="B220">
        <v>9</v>
      </c>
      <c r="C220">
        <v>2022</v>
      </c>
      <c r="D220" t="s">
        <v>822</v>
      </c>
      <c r="E220" t="s">
        <v>243</v>
      </c>
      <c r="F220">
        <v>10</v>
      </c>
      <c r="AG220" s="1" t="str">
        <v>DPLUS141</v>
      </c>
      <c r="AH220" s="1">
        <v>9</v>
      </c>
      <c r="AI220" s="1">
        <v>2022</v>
      </c>
      <c r="AJ220" s="1" t="str">
        <v>Y1</v>
      </c>
      <c r="AK220" s="1" t="str">
        <v>DPLUS-C14</v>
      </c>
      <c r="AL220" s="1">
        <v>10</v>
      </c>
    </row>
    <row r="221" spans="1:38" ht="14.25" customHeight="1" x14ac:dyDescent="0.25">
      <c r="A221" t="s">
        <v>84</v>
      </c>
      <c r="B221">
        <v>9</v>
      </c>
      <c r="C221">
        <v>2023</v>
      </c>
      <c r="D221" t="s">
        <v>823</v>
      </c>
      <c r="E221" t="s">
        <v>243</v>
      </c>
      <c r="F221">
        <v>0</v>
      </c>
      <c r="AG221" s="1" t="str">
        <v>DPLUS141</v>
      </c>
      <c r="AH221" s="1">
        <v>9</v>
      </c>
      <c r="AI221" s="1">
        <v>2023</v>
      </c>
      <c r="AJ221" s="1" t="str">
        <v>Y2</v>
      </c>
      <c r="AK221" s="1" t="str">
        <v>DPLUS-C14</v>
      </c>
      <c r="AL221" s="1">
        <v>0</v>
      </c>
    </row>
    <row r="222" spans="1:38" ht="14.25" customHeight="1" x14ac:dyDescent="0.25">
      <c r="A222" t="s">
        <v>84</v>
      </c>
      <c r="B222">
        <v>9</v>
      </c>
      <c r="C222">
        <v>2024</v>
      </c>
      <c r="D222" t="s">
        <v>824</v>
      </c>
      <c r="E222" t="s">
        <v>243</v>
      </c>
      <c r="F222">
        <v>0</v>
      </c>
      <c r="AG222" s="1" t="str">
        <v>DPLUS141</v>
      </c>
      <c r="AH222" s="1">
        <v>9</v>
      </c>
      <c r="AI222" s="1">
        <v>2024</v>
      </c>
      <c r="AJ222" s="1" t="str">
        <v>Y3</v>
      </c>
      <c r="AK222" s="1" t="str">
        <v>DPLUS-C14</v>
      </c>
      <c r="AL222" s="1">
        <v>0</v>
      </c>
    </row>
    <row r="223" spans="1:38" ht="14.25" customHeight="1" x14ac:dyDescent="0.25">
      <c r="A223" t="s">
        <v>90</v>
      </c>
      <c r="B223">
        <v>9</v>
      </c>
      <c r="C223">
        <v>2022</v>
      </c>
      <c r="D223" t="s">
        <v>822</v>
      </c>
      <c r="E223" t="s">
        <v>238</v>
      </c>
      <c r="F223">
        <v>0</v>
      </c>
      <c r="AG223" s="1" t="str">
        <v>DPLUS144</v>
      </c>
      <c r="AH223" s="1">
        <v>9</v>
      </c>
      <c r="AI223" s="1">
        <v>2022</v>
      </c>
      <c r="AJ223" s="1" t="str">
        <v>Y1</v>
      </c>
      <c r="AK223" s="1" t="str">
        <v>DPLUS-C12</v>
      </c>
      <c r="AL223" s="1">
        <v>0</v>
      </c>
    </row>
    <row r="224" spans="1:38" ht="14.25" customHeight="1" x14ac:dyDescent="0.25">
      <c r="A224" t="s">
        <v>90</v>
      </c>
      <c r="B224">
        <v>9</v>
      </c>
      <c r="C224">
        <v>2023</v>
      </c>
      <c r="D224" t="s">
        <v>823</v>
      </c>
      <c r="E224" t="s">
        <v>238</v>
      </c>
      <c r="F224">
        <v>0</v>
      </c>
      <c r="AG224" s="1" t="str">
        <v>DPLUS144</v>
      </c>
      <c r="AH224" s="1">
        <v>9</v>
      </c>
      <c r="AI224" s="1">
        <v>2023</v>
      </c>
      <c r="AJ224" s="1" t="str">
        <v>Y2</v>
      </c>
      <c r="AK224" s="1" t="str">
        <v>DPLUS-C12</v>
      </c>
      <c r="AL224" s="1">
        <v>0</v>
      </c>
    </row>
    <row r="225" spans="1:38" ht="14.25" customHeight="1" x14ac:dyDescent="0.25">
      <c r="A225" t="s">
        <v>90</v>
      </c>
      <c r="B225">
        <v>9</v>
      </c>
      <c r="C225">
        <v>2024</v>
      </c>
      <c r="D225" t="s">
        <v>824</v>
      </c>
      <c r="E225" t="s">
        <v>238</v>
      </c>
      <c r="F225">
        <v>464</v>
      </c>
      <c r="AG225" s="1" t="str">
        <v>DPLUS144</v>
      </c>
      <c r="AH225" s="1">
        <v>9</v>
      </c>
      <c r="AI225" s="1">
        <v>2024</v>
      </c>
      <c r="AJ225" s="1" t="str">
        <v>Y3</v>
      </c>
      <c r="AK225" s="1" t="str">
        <v>DPLUS-C12</v>
      </c>
      <c r="AL225" s="1">
        <v>464</v>
      </c>
    </row>
    <row r="226" spans="1:38" ht="14.25" customHeight="1" x14ac:dyDescent="0.25">
      <c r="A226" t="s">
        <v>96</v>
      </c>
      <c r="B226">
        <v>9</v>
      </c>
      <c r="C226">
        <v>2022</v>
      </c>
      <c r="D226" t="s">
        <v>822</v>
      </c>
      <c r="E226" t="s">
        <v>164</v>
      </c>
      <c r="F226">
        <v>4</v>
      </c>
      <c r="AG226" s="1" t="str">
        <v>DPLUS149</v>
      </c>
      <c r="AH226" s="1">
        <v>9</v>
      </c>
      <c r="AI226" s="1">
        <v>2022</v>
      </c>
      <c r="AJ226" s="1" t="str">
        <v>Y1</v>
      </c>
      <c r="AK226" s="1" t="str">
        <v>DPLUS-A01</v>
      </c>
      <c r="AL226" s="1">
        <v>4</v>
      </c>
    </row>
    <row r="227" spans="1:38" ht="14.25" customHeight="1" x14ac:dyDescent="0.25">
      <c r="A227" t="s">
        <v>96</v>
      </c>
      <c r="B227">
        <v>9</v>
      </c>
      <c r="C227">
        <v>2023</v>
      </c>
      <c r="D227" t="s">
        <v>823</v>
      </c>
      <c r="E227" t="s">
        <v>164</v>
      </c>
      <c r="F227">
        <v>6</v>
      </c>
      <c r="AG227" s="1" t="str">
        <v>DPLUS149</v>
      </c>
      <c r="AH227" s="1">
        <v>9</v>
      </c>
      <c r="AI227" s="1">
        <v>2023</v>
      </c>
      <c r="AJ227" s="1" t="str">
        <v>Y2</v>
      </c>
      <c r="AK227" s="1" t="str">
        <v>DPLUS-A01</v>
      </c>
      <c r="AL227" s="1">
        <v>6</v>
      </c>
    </row>
    <row r="228" spans="1:38" ht="14.25" customHeight="1" x14ac:dyDescent="0.25">
      <c r="A228" t="s">
        <v>96</v>
      </c>
      <c r="B228">
        <v>9</v>
      </c>
      <c r="C228">
        <v>2024</v>
      </c>
      <c r="D228" t="s">
        <v>824</v>
      </c>
      <c r="E228" t="s">
        <v>164</v>
      </c>
      <c r="F228">
        <v>0</v>
      </c>
      <c r="AG228" s="1" t="str">
        <v>DPLUS149</v>
      </c>
      <c r="AH228" s="1">
        <v>9</v>
      </c>
      <c r="AI228" s="1">
        <v>2024</v>
      </c>
      <c r="AJ228" s="1" t="str">
        <v>Y3</v>
      </c>
      <c r="AK228" s="1" t="str">
        <v>DPLUS-A01</v>
      </c>
      <c r="AL228" s="1">
        <v>0</v>
      </c>
    </row>
    <row r="229" spans="1:38" ht="14.25" customHeight="1" x14ac:dyDescent="0.25">
      <c r="A229" t="s">
        <v>96</v>
      </c>
      <c r="B229">
        <v>9</v>
      </c>
      <c r="C229">
        <v>2022</v>
      </c>
      <c r="D229" t="s">
        <v>822</v>
      </c>
      <c r="E229" t="s">
        <v>215</v>
      </c>
      <c r="F229">
        <v>6</v>
      </c>
      <c r="AG229" s="1" t="str">
        <v>DPLUS149</v>
      </c>
      <c r="AH229" s="1">
        <v>9</v>
      </c>
      <c r="AI229" s="1">
        <v>2022</v>
      </c>
      <c r="AJ229" s="1" t="str">
        <v>Y1</v>
      </c>
      <c r="AK229" s="1" t="str">
        <v>DPLUS-C01</v>
      </c>
      <c r="AL229" s="1">
        <v>6</v>
      </c>
    </row>
    <row r="230" spans="1:38" ht="14.25" customHeight="1" x14ac:dyDescent="0.25">
      <c r="A230" t="s">
        <v>96</v>
      </c>
      <c r="B230">
        <v>9</v>
      </c>
      <c r="C230">
        <v>2023</v>
      </c>
      <c r="D230" t="s">
        <v>823</v>
      </c>
      <c r="E230" t="s">
        <v>215</v>
      </c>
      <c r="F230">
        <v>6</v>
      </c>
      <c r="AG230" s="1" t="str">
        <v>DPLUS149</v>
      </c>
      <c r="AH230" s="1">
        <v>9</v>
      </c>
      <c r="AI230" s="1">
        <v>2023</v>
      </c>
      <c r="AJ230" s="1" t="str">
        <v>Y2</v>
      </c>
      <c r="AK230" s="1" t="str">
        <v>DPLUS-C01</v>
      </c>
      <c r="AL230" s="1">
        <v>6</v>
      </c>
    </row>
    <row r="231" spans="1:38" ht="14.25" customHeight="1" x14ac:dyDescent="0.25">
      <c r="A231" t="s">
        <v>96</v>
      </c>
      <c r="B231">
        <v>9</v>
      </c>
      <c r="C231">
        <v>2024</v>
      </c>
      <c r="D231" t="s">
        <v>824</v>
      </c>
      <c r="E231" t="s">
        <v>215</v>
      </c>
      <c r="F231">
        <v>0</v>
      </c>
      <c r="AG231" s="1" t="str">
        <v>DPLUS149</v>
      </c>
      <c r="AH231" s="1">
        <v>9</v>
      </c>
      <c r="AI231" s="1">
        <v>2024</v>
      </c>
      <c r="AJ231" s="1" t="str">
        <v>Y3</v>
      </c>
      <c r="AK231" s="1" t="str">
        <v>DPLUS-C01</v>
      </c>
      <c r="AL231" s="1">
        <v>0</v>
      </c>
    </row>
    <row r="232" spans="1:38" ht="14.25" customHeight="1" x14ac:dyDescent="0.25">
      <c r="A232" t="s">
        <v>96</v>
      </c>
      <c r="B232">
        <v>9</v>
      </c>
      <c r="C232">
        <v>2022</v>
      </c>
      <c r="D232" t="s">
        <v>822</v>
      </c>
      <c r="E232" t="s">
        <v>223</v>
      </c>
      <c r="F232">
        <v>0</v>
      </c>
      <c r="AG232" s="1" t="str">
        <v>DPLUS149</v>
      </c>
      <c r="AH232" s="1">
        <v>9</v>
      </c>
      <c r="AI232" s="1">
        <v>2022</v>
      </c>
      <c r="AJ232" s="1" t="str">
        <v>Y1</v>
      </c>
      <c r="AK232" s="1" t="str">
        <v>DPLUS-C05</v>
      </c>
      <c r="AL232" s="1">
        <v>0</v>
      </c>
    </row>
    <row r="233" spans="1:38" ht="14.25" customHeight="1" x14ac:dyDescent="0.25">
      <c r="A233" t="s">
        <v>96</v>
      </c>
      <c r="B233">
        <v>9</v>
      </c>
      <c r="C233">
        <v>2023</v>
      </c>
      <c r="D233" t="s">
        <v>823</v>
      </c>
      <c r="E233" t="s">
        <v>223</v>
      </c>
      <c r="F233">
        <v>1</v>
      </c>
      <c r="AG233" s="1" t="str">
        <v>DPLUS149</v>
      </c>
      <c r="AH233" s="1">
        <v>9</v>
      </c>
      <c r="AI233" s="1">
        <v>2023</v>
      </c>
      <c r="AJ233" s="1" t="str">
        <v>Y2</v>
      </c>
      <c r="AK233" s="1" t="str">
        <v>DPLUS-C05</v>
      </c>
      <c r="AL233" s="1">
        <v>1</v>
      </c>
    </row>
    <row r="234" spans="1:38" ht="14.25" customHeight="1" x14ac:dyDescent="0.25">
      <c r="A234" t="s">
        <v>96</v>
      </c>
      <c r="B234">
        <v>9</v>
      </c>
      <c r="C234">
        <v>2024</v>
      </c>
      <c r="D234" t="s">
        <v>824</v>
      </c>
      <c r="E234" t="s">
        <v>223</v>
      </c>
      <c r="F234">
        <v>0</v>
      </c>
      <c r="AG234" s="1" t="str">
        <v>DPLUS149</v>
      </c>
      <c r="AH234" s="1">
        <v>9</v>
      </c>
      <c r="AI234" s="1">
        <v>2024</v>
      </c>
      <c r="AJ234" s="1" t="str">
        <v>Y3</v>
      </c>
      <c r="AK234" s="1" t="str">
        <v>DPLUS-C05</v>
      </c>
      <c r="AL234" s="1">
        <v>0</v>
      </c>
    </row>
    <row r="235" spans="1:38" ht="14.25" customHeight="1" x14ac:dyDescent="0.25">
      <c r="A235" t="s">
        <v>96</v>
      </c>
      <c r="B235">
        <v>9</v>
      </c>
      <c r="C235">
        <v>2022</v>
      </c>
      <c r="D235" t="s">
        <v>822</v>
      </c>
      <c r="E235" t="s">
        <v>250</v>
      </c>
      <c r="F235">
        <v>0</v>
      </c>
      <c r="AG235" s="1" t="str">
        <v>DPLUS149</v>
      </c>
      <c r="AH235" s="1">
        <v>9</v>
      </c>
      <c r="AI235" s="1">
        <v>2022</v>
      </c>
      <c r="AJ235" s="1" t="str">
        <v>Y1</v>
      </c>
      <c r="AK235" s="1" t="str">
        <v>DPLUS-C17</v>
      </c>
      <c r="AL235" s="1">
        <v>0</v>
      </c>
    </row>
    <row r="236" spans="1:38" ht="14.25" customHeight="1" x14ac:dyDescent="0.25">
      <c r="A236" t="s">
        <v>96</v>
      </c>
      <c r="B236">
        <v>9</v>
      </c>
      <c r="C236">
        <v>2023</v>
      </c>
      <c r="D236" t="s">
        <v>823</v>
      </c>
      <c r="E236" t="s">
        <v>250</v>
      </c>
      <c r="F236">
        <v>1</v>
      </c>
      <c r="AG236" s="1" t="str">
        <v>DPLUS149</v>
      </c>
      <c r="AH236" s="1">
        <v>9</v>
      </c>
      <c r="AI236" s="1">
        <v>2023</v>
      </c>
      <c r="AJ236" s="1" t="str">
        <v>Y2</v>
      </c>
      <c r="AK236" s="1" t="str">
        <v>DPLUS-C17</v>
      </c>
      <c r="AL236" s="1">
        <v>1</v>
      </c>
    </row>
    <row r="237" spans="1:38" ht="14.25" customHeight="1" x14ac:dyDescent="0.25">
      <c r="A237" t="s">
        <v>96</v>
      </c>
      <c r="B237">
        <v>9</v>
      </c>
      <c r="C237">
        <v>2024</v>
      </c>
      <c r="D237" t="s">
        <v>824</v>
      </c>
      <c r="E237" t="s">
        <v>250</v>
      </c>
      <c r="F237">
        <v>0</v>
      </c>
      <c r="AG237" s="1" t="str">
        <v>DPLUS149</v>
      </c>
      <c r="AH237" s="1">
        <v>9</v>
      </c>
      <c r="AI237" s="1">
        <v>2024</v>
      </c>
      <c r="AJ237" s="1" t="str">
        <v>Y3</v>
      </c>
      <c r="AK237" s="1" t="str">
        <v>DPLUS-C17</v>
      </c>
      <c r="AL237" s="1">
        <v>0</v>
      </c>
    </row>
    <row r="238" spans="1:38" ht="14.25" customHeight="1" x14ac:dyDescent="0.25">
      <c r="A238" t="s">
        <v>98</v>
      </c>
      <c r="B238">
        <v>9</v>
      </c>
      <c r="C238">
        <v>2022</v>
      </c>
      <c r="D238" t="s">
        <v>822</v>
      </c>
      <c r="E238" t="s">
        <v>164</v>
      </c>
      <c r="F238">
        <v>21</v>
      </c>
      <c r="AG238" s="1" t="str">
        <v>DPLUS151</v>
      </c>
      <c r="AH238" s="1">
        <v>9</v>
      </c>
      <c r="AI238" s="1">
        <v>2022</v>
      </c>
      <c r="AJ238" s="1" t="str">
        <v>Y1</v>
      </c>
      <c r="AK238" s="1" t="str">
        <v>DPLUS-A01</v>
      </c>
      <c r="AL238" s="1">
        <v>21</v>
      </c>
    </row>
    <row r="239" spans="1:38" ht="14.25" customHeight="1" x14ac:dyDescent="0.25">
      <c r="A239" t="s">
        <v>98</v>
      </c>
      <c r="B239">
        <v>9</v>
      </c>
      <c r="C239">
        <v>2023</v>
      </c>
      <c r="D239" t="s">
        <v>823</v>
      </c>
      <c r="E239" t="s">
        <v>164</v>
      </c>
      <c r="F239">
        <v>13</v>
      </c>
      <c r="AG239" s="1" t="str">
        <v>DPLUS151</v>
      </c>
      <c r="AH239" s="1">
        <v>9</v>
      </c>
      <c r="AI239" s="1">
        <v>2023</v>
      </c>
      <c r="AJ239" s="1" t="str">
        <v>Y2</v>
      </c>
      <c r="AK239" s="1" t="str">
        <v>DPLUS-A01</v>
      </c>
      <c r="AL239" s="1">
        <v>13</v>
      </c>
    </row>
    <row r="240" spans="1:38" ht="14.25" customHeight="1" x14ac:dyDescent="0.25">
      <c r="A240" t="s">
        <v>98</v>
      </c>
      <c r="B240">
        <v>9</v>
      </c>
      <c r="C240">
        <v>2024</v>
      </c>
      <c r="D240" t="s">
        <v>824</v>
      </c>
      <c r="E240" t="s">
        <v>164</v>
      </c>
      <c r="F240">
        <v>0</v>
      </c>
      <c r="AG240" s="1" t="str">
        <v>DPLUS151</v>
      </c>
      <c r="AH240" s="1">
        <v>9</v>
      </c>
      <c r="AI240" s="1">
        <v>2024</v>
      </c>
      <c r="AJ240" s="1" t="str">
        <v>Y3</v>
      </c>
      <c r="AK240" s="1" t="str">
        <v>DPLUS-A01</v>
      </c>
      <c r="AL240" s="1">
        <v>0</v>
      </c>
    </row>
    <row r="241" spans="1:38" ht="14.25" customHeight="1" x14ac:dyDescent="0.25">
      <c r="A241" t="s">
        <v>98</v>
      </c>
      <c r="B241">
        <v>9</v>
      </c>
      <c r="C241">
        <v>2022</v>
      </c>
      <c r="D241" t="s">
        <v>822</v>
      </c>
      <c r="E241" t="s">
        <v>174</v>
      </c>
      <c r="F241">
        <v>0</v>
      </c>
      <c r="AG241" s="1" t="str">
        <v>DPLUS151</v>
      </c>
      <c r="AH241" s="1">
        <v>9</v>
      </c>
      <c r="AI241" s="1">
        <v>2022</v>
      </c>
      <c r="AJ241" s="1" t="str">
        <v>Y1</v>
      </c>
      <c r="AK241" s="1" t="str">
        <v>DPLUS-A05</v>
      </c>
      <c r="AL241" s="1">
        <v>0</v>
      </c>
    </row>
    <row r="242" spans="1:38" ht="14.25" customHeight="1" x14ac:dyDescent="0.25">
      <c r="A242" t="s">
        <v>98</v>
      </c>
      <c r="B242">
        <v>9</v>
      </c>
      <c r="C242">
        <v>2023</v>
      </c>
      <c r="D242" t="s">
        <v>823</v>
      </c>
      <c r="E242" t="s">
        <v>174</v>
      </c>
      <c r="F242">
        <v>1</v>
      </c>
      <c r="AG242" s="1" t="str">
        <v>DPLUS151</v>
      </c>
      <c r="AH242" s="1">
        <v>9</v>
      </c>
      <c r="AI242" s="1">
        <v>2023</v>
      </c>
      <c r="AJ242" s="1" t="str">
        <v>Y2</v>
      </c>
      <c r="AK242" s="1" t="str">
        <v>DPLUS-A05</v>
      </c>
      <c r="AL242" s="1">
        <v>1</v>
      </c>
    </row>
    <row r="243" spans="1:38" ht="14.25" customHeight="1" x14ac:dyDescent="0.25">
      <c r="A243" t="s">
        <v>98</v>
      </c>
      <c r="B243">
        <v>9</v>
      </c>
      <c r="C243">
        <v>2024</v>
      </c>
      <c r="D243" t="s">
        <v>824</v>
      </c>
      <c r="E243" t="s">
        <v>174</v>
      </c>
      <c r="F243">
        <v>0</v>
      </c>
      <c r="AG243" s="1" t="str">
        <v>DPLUS151</v>
      </c>
      <c r="AH243" s="1">
        <v>9</v>
      </c>
      <c r="AI243" s="1">
        <v>2024</v>
      </c>
      <c r="AJ243" s="1" t="str">
        <v>Y3</v>
      </c>
      <c r="AK243" s="1" t="str">
        <v>DPLUS-A05</v>
      </c>
      <c r="AL243" s="1">
        <v>0</v>
      </c>
    </row>
    <row r="244" spans="1:38" ht="14.25" customHeight="1" x14ac:dyDescent="0.25">
      <c r="A244" t="s">
        <v>98</v>
      </c>
      <c r="B244">
        <v>9</v>
      </c>
      <c r="C244">
        <v>2022</v>
      </c>
      <c r="D244" t="s">
        <v>822</v>
      </c>
      <c r="E244" t="s">
        <v>179</v>
      </c>
      <c r="F244">
        <v>1</v>
      </c>
      <c r="AG244" s="1" t="str">
        <v>DPLUS151</v>
      </c>
      <c r="AH244" s="1">
        <v>9</v>
      </c>
      <c r="AI244" s="1">
        <v>2022</v>
      </c>
      <c r="AJ244" s="1" t="str">
        <v>Y1</v>
      </c>
      <c r="AK244" s="1" t="str">
        <v>DPLUS-A07</v>
      </c>
      <c r="AL244" s="1">
        <v>1</v>
      </c>
    </row>
    <row r="245" spans="1:38" ht="14.25" customHeight="1" x14ac:dyDescent="0.25">
      <c r="A245" t="s">
        <v>98</v>
      </c>
      <c r="B245">
        <v>9</v>
      </c>
      <c r="C245">
        <v>2023</v>
      </c>
      <c r="D245" t="s">
        <v>823</v>
      </c>
      <c r="E245" t="s">
        <v>179</v>
      </c>
      <c r="F245">
        <v>0</v>
      </c>
      <c r="AG245" s="1" t="str">
        <v>DPLUS151</v>
      </c>
      <c r="AH245" s="1">
        <v>9</v>
      </c>
      <c r="AI245" s="1">
        <v>2023</v>
      </c>
      <c r="AJ245" s="1" t="str">
        <v>Y2</v>
      </c>
      <c r="AK245" s="1" t="str">
        <v>DPLUS-A07</v>
      </c>
      <c r="AL245" s="1">
        <v>0</v>
      </c>
    </row>
    <row r="246" spans="1:38" ht="14.25" customHeight="1" x14ac:dyDescent="0.25">
      <c r="A246" t="s">
        <v>98</v>
      </c>
      <c r="B246">
        <v>9</v>
      </c>
      <c r="C246">
        <v>2024</v>
      </c>
      <c r="D246" t="s">
        <v>824</v>
      </c>
      <c r="E246" t="s">
        <v>179</v>
      </c>
      <c r="F246">
        <v>0</v>
      </c>
      <c r="AG246" s="1" t="str">
        <v>DPLUS151</v>
      </c>
      <c r="AH246" s="1">
        <v>9</v>
      </c>
      <c r="AI246" s="1">
        <v>2024</v>
      </c>
      <c r="AJ246" s="1" t="str">
        <v>Y3</v>
      </c>
      <c r="AK246" s="1" t="str">
        <v>DPLUS-A07</v>
      </c>
      <c r="AL246" s="1">
        <v>0</v>
      </c>
    </row>
    <row r="247" spans="1:38" ht="14.25" customHeight="1" x14ac:dyDescent="0.25">
      <c r="A247" t="s">
        <v>98</v>
      </c>
      <c r="B247">
        <v>9</v>
      </c>
      <c r="C247">
        <v>2022</v>
      </c>
      <c r="D247" t="s">
        <v>822</v>
      </c>
      <c r="E247" t="s">
        <v>197</v>
      </c>
      <c r="F247">
        <v>0</v>
      </c>
      <c r="AG247" s="1" t="str">
        <v>DPLUS151</v>
      </c>
      <c r="AH247" s="1">
        <v>9</v>
      </c>
      <c r="AI247" s="1">
        <v>2022</v>
      </c>
      <c r="AJ247" s="1" t="str">
        <v>Y1</v>
      </c>
      <c r="AK247" s="1" t="str">
        <v>DPLUS-B05</v>
      </c>
      <c r="AL247" s="1">
        <v>0</v>
      </c>
    </row>
    <row r="248" spans="1:38" ht="14.25" customHeight="1" x14ac:dyDescent="0.25">
      <c r="A248" t="s">
        <v>98</v>
      </c>
      <c r="B248">
        <v>9</v>
      </c>
      <c r="C248">
        <v>2023</v>
      </c>
      <c r="D248" t="s">
        <v>823</v>
      </c>
      <c r="E248" t="s">
        <v>197</v>
      </c>
      <c r="F248">
        <v>6</v>
      </c>
      <c r="AG248" s="1" t="str">
        <v>DPLUS151</v>
      </c>
      <c r="AH248" s="1">
        <v>9</v>
      </c>
      <c r="AI248" s="1">
        <v>2023</v>
      </c>
      <c r="AJ248" s="1" t="str">
        <v>Y2</v>
      </c>
      <c r="AK248" s="1" t="str">
        <v>DPLUS-B05</v>
      </c>
      <c r="AL248" s="1">
        <v>6</v>
      </c>
    </row>
    <row r="249" spans="1:38" ht="14.25" customHeight="1" x14ac:dyDescent="0.25">
      <c r="A249" t="s">
        <v>98</v>
      </c>
      <c r="B249">
        <v>9</v>
      </c>
      <c r="C249">
        <v>2024</v>
      </c>
      <c r="D249" t="s">
        <v>824</v>
      </c>
      <c r="E249" t="s">
        <v>197</v>
      </c>
      <c r="F249">
        <v>0</v>
      </c>
      <c r="AG249" s="1" t="str">
        <v>DPLUS151</v>
      </c>
      <c r="AH249" s="1">
        <v>9</v>
      </c>
      <c r="AI249" s="1">
        <v>2024</v>
      </c>
      <c r="AJ249" s="1" t="str">
        <v>Y3</v>
      </c>
      <c r="AK249" s="1" t="str">
        <v>DPLUS-B05</v>
      </c>
      <c r="AL249" s="1">
        <v>0</v>
      </c>
    </row>
    <row r="250" spans="1:38" ht="14.25" customHeight="1" x14ac:dyDescent="0.25">
      <c r="A250" t="s">
        <v>100</v>
      </c>
      <c r="B250">
        <v>9</v>
      </c>
      <c r="C250">
        <v>2022</v>
      </c>
      <c r="D250" t="s">
        <v>822</v>
      </c>
      <c r="E250" t="s">
        <v>164</v>
      </c>
      <c r="F250">
        <v>11</v>
      </c>
      <c r="AG250" s="1" t="str">
        <v>DPLUS153</v>
      </c>
      <c r="AH250" s="1">
        <v>9</v>
      </c>
      <c r="AI250" s="1">
        <v>2022</v>
      </c>
      <c r="AJ250" s="1" t="str">
        <v>Y1</v>
      </c>
      <c r="AK250" s="1" t="str">
        <v>DPLUS-A01</v>
      </c>
      <c r="AL250" s="1">
        <v>11</v>
      </c>
    </row>
    <row r="251" spans="1:38" ht="14.25" customHeight="1" x14ac:dyDescent="0.25">
      <c r="A251" t="s">
        <v>100</v>
      </c>
      <c r="B251">
        <v>9</v>
      </c>
      <c r="C251">
        <v>2023</v>
      </c>
      <c r="D251" t="s">
        <v>823</v>
      </c>
      <c r="E251" t="s">
        <v>164</v>
      </c>
      <c r="F251">
        <v>5</v>
      </c>
      <c r="AG251" s="1" t="str">
        <v>DPLUS153</v>
      </c>
      <c r="AH251" s="1">
        <v>9</v>
      </c>
      <c r="AI251" s="1">
        <v>2023</v>
      </c>
      <c r="AJ251" s="1" t="str">
        <v>Y2</v>
      </c>
      <c r="AK251" s="1" t="str">
        <v>DPLUS-A01</v>
      </c>
      <c r="AL251" s="1">
        <v>5</v>
      </c>
    </row>
    <row r="252" spans="1:38" ht="14.25" customHeight="1" x14ac:dyDescent="0.25">
      <c r="A252" t="s">
        <v>100</v>
      </c>
      <c r="B252">
        <v>9</v>
      </c>
      <c r="C252">
        <v>2024</v>
      </c>
      <c r="D252" t="s">
        <v>824</v>
      </c>
      <c r="E252" t="s">
        <v>164</v>
      </c>
      <c r="F252">
        <v>0</v>
      </c>
      <c r="AG252" s="1" t="str">
        <v>DPLUS153</v>
      </c>
      <c r="AH252" s="1">
        <v>9</v>
      </c>
      <c r="AI252" s="1">
        <v>2024</v>
      </c>
      <c r="AJ252" s="1" t="str">
        <v>Y3</v>
      </c>
      <c r="AK252" s="1" t="str">
        <v>DPLUS-A01</v>
      </c>
      <c r="AL252" s="1">
        <v>0</v>
      </c>
    </row>
    <row r="253" spans="1:38" ht="14.25" customHeight="1" x14ac:dyDescent="0.25">
      <c r="A253" t="s">
        <v>100</v>
      </c>
      <c r="B253">
        <v>9</v>
      </c>
      <c r="C253">
        <v>2022</v>
      </c>
      <c r="D253" t="s">
        <v>822</v>
      </c>
      <c r="E253" t="s">
        <v>207</v>
      </c>
      <c r="F253">
        <v>0</v>
      </c>
      <c r="AG253" s="1" t="str">
        <v>DPLUS153</v>
      </c>
      <c r="AH253" s="1">
        <v>9</v>
      </c>
      <c r="AI253" s="1">
        <v>2022</v>
      </c>
      <c r="AJ253" s="1" t="str">
        <v>Y1</v>
      </c>
      <c r="AK253" s="1" t="str">
        <v>DPLUS-B10</v>
      </c>
      <c r="AL253" s="1">
        <v>0</v>
      </c>
    </row>
    <row r="254" spans="1:38" ht="14.25" customHeight="1" x14ac:dyDescent="0.25">
      <c r="A254" t="s">
        <v>100</v>
      </c>
      <c r="B254">
        <v>9</v>
      </c>
      <c r="C254">
        <v>2023</v>
      </c>
      <c r="D254" t="s">
        <v>823</v>
      </c>
      <c r="E254" t="s">
        <v>207</v>
      </c>
      <c r="F254">
        <v>5</v>
      </c>
      <c r="AG254" s="1" t="str">
        <v>DPLUS153</v>
      </c>
      <c r="AH254" s="1">
        <v>9</v>
      </c>
      <c r="AI254" s="1">
        <v>2023</v>
      </c>
      <c r="AJ254" s="1" t="str">
        <v>Y2</v>
      </c>
      <c r="AK254" s="1" t="str">
        <v>DPLUS-B10</v>
      </c>
      <c r="AL254" s="1">
        <v>5</v>
      </c>
    </row>
    <row r="255" spans="1:38" ht="14.25" customHeight="1" x14ac:dyDescent="0.25">
      <c r="A255" t="s">
        <v>100</v>
      </c>
      <c r="B255">
        <v>9</v>
      </c>
      <c r="C255">
        <v>2024</v>
      </c>
      <c r="D255" t="s">
        <v>824</v>
      </c>
      <c r="E255" t="s">
        <v>207</v>
      </c>
      <c r="F255">
        <v>0</v>
      </c>
      <c r="AG255" s="1" t="str">
        <v>DPLUS153</v>
      </c>
      <c r="AH255" s="1">
        <v>9</v>
      </c>
      <c r="AI255" s="1">
        <v>2024</v>
      </c>
      <c r="AJ255" s="1" t="str">
        <v>Y3</v>
      </c>
      <c r="AK255" s="1" t="str">
        <v>DPLUS-B10</v>
      </c>
      <c r="AL255" s="1">
        <v>0</v>
      </c>
    </row>
    <row r="256" spans="1:38" ht="14.25" customHeight="1" x14ac:dyDescent="0.25">
      <c r="A256" t="s">
        <v>100</v>
      </c>
      <c r="B256">
        <v>9</v>
      </c>
      <c r="C256">
        <v>2022</v>
      </c>
      <c r="D256" t="s">
        <v>822</v>
      </c>
      <c r="E256" t="s">
        <v>215</v>
      </c>
      <c r="F256">
        <v>1</v>
      </c>
      <c r="AG256" s="1" t="str">
        <v>DPLUS153</v>
      </c>
      <c r="AH256" s="1">
        <v>9</v>
      </c>
      <c r="AI256" s="1">
        <v>2022</v>
      </c>
      <c r="AJ256" s="1" t="str">
        <v>Y1</v>
      </c>
      <c r="AK256" s="1" t="str">
        <v>DPLUS-C01</v>
      </c>
      <c r="AL256" s="1">
        <v>1</v>
      </c>
    </row>
    <row r="257" spans="1:38" ht="14.25" customHeight="1" x14ac:dyDescent="0.25">
      <c r="A257" t="s">
        <v>100</v>
      </c>
      <c r="B257">
        <v>9</v>
      </c>
      <c r="C257">
        <v>2023</v>
      </c>
      <c r="D257" t="s">
        <v>823</v>
      </c>
      <c r="E257" t="s">
        <v>215</v>
      </c>
      <c r="F257">
        <v>1</v>
      </c>
      <c r="AG257" s="1" t="str">
        <v>DPLUS153</v>
      </c>
      <c r="AH257" s="1">
        <v>9</v>
      </c>
      <c r="AI257" s="1">
        <v>2023</v>
      </c>
      <c r="AJ257" s="1" t="str">
        <v>Y2</v>
      </c>
      <c r="AK257" s="1" t="str">
        <v>DPLUS-C01</v>
      </c>
      <c r="AL257" s="1">
        <v>1</v>
      </c>
    </row>
    <row r="258" spans="1:38" ht="14.25" customHeight="1" x14ac:dyDescent="0.25">
      <c r="A258" t="s">
        <v>100</v>
      </c>
      <c r="B258">
        <v>9</v>
      </c>
      <c r="C258">
        <v>2024</v>
      </c>
      <c r="D258" t="s">
        <v>824</v>
      </c>
      <c r="E258" t="s">
        <v>215</v>
      </c>
      <c r="F258">
        <v>0</v>
      </c>
      <c r="AG258" s="1" t="str">
        <v>DPLUS153</v>
      </c>
      <c r="AH258" s="1">
        <v>9</v>
      </c>
      <c r="AI258" s="1">
        <v>2024</v>
      </c>
      <c r="AJ258" s="1" t="str">
        <v>Y3</v>
      </c>
      <c r="AK258" s="1" t="str">
        <v>DPLUS-C01</v>
      </c>
      <c r="AL258" s="1">
        <v>0</v>
      </c>
    </row>
    <row r="259" spans="1:38" ht="14.25" customHeight="1" x14ac:dyDescent="0.25">
      <c r="A259" t="s">
        <v>100</v>
      </c>
      <c r="B259">
        <v>9</v>
      </c>
      <c r="C259">
        <v>2022</v>
      </c>
      <c r="D259" t="s">
        <v>822</v>
      </c>
      <c r="E259" t="s">
        <v>247</v>
      </c>
      <c r="F259">
        <v>1</v>
      </c>
      <c r="AG259" s="1" t="str">
        <v>DPLUS153</v>
      </c>
      <c r="AH259" s="1">
        <v>9</v>
      </c>
      <c r="AI259" s="1">
        <v>2022</v>
      </c>
      <c r="AJ259" s="1" t="str">
        <v>Y1</v>
      </c>
      <c r="AK259" s="1" t="str">
        <v>DPLUS-C16</v>
      </c>
      <c r="AL259" s="1">
        <v>1</v>
      </c>
    </row>
    <row r="260" spans="1:38" ht="14.25" customHeight="1" x14ac:dyDescent="0.25">
      <c r="A260" t="s">
        <v>100</v>
      </c>
      <c r="B260">
        <v>9</v>
      </c>
      <c r="C260">
        <v>2023</v>
      </c>
      <c r="D260" t="s">
        <v>823</v>
      </c>
      <c r="E260" t="s">
        <v>247</v>
      </c>
      <c r="F260">
        <v>0</v>
      </c>
      <c r="AG260" s="1" t="str">
        <v>DPLUS153</v>
      </c>
      <c r="AH260" s="1">
        <v>9</v>
      </c>
      <c r="AI260" s="1">
        <v>2023</v>
      </c>
      <c r="AJ260" s="1" t="str">
        <v>Y2</v>
      </c>
      <c r="AK260" s="1" t="str">
        <v>DPLUS-C16</v>
      </c>
      <c r="AL260" s="1">
        <v>0</v>
      </c>
    </row>
    <row r="261" spans="1:38" ht="14.25" customHeight="1" x14ac:dyDescent="0.25">
      <c r="A261" t="s">
        <v>100</v>
      </c>
      <c r="B261">
        <v>9</v>
      </c>
      <c r="C261">
        <v>2024</v>
      </c>
      <c r="D261" t="s">
        <v>824</v>
      </c>
      <c r="E261" t="s">
        <v>247</v>
      </c>
      <c r="F261">
        <v>0</v>
      </c>
      <c r="AG261" s="1" t="str">
        <v>DPLUS153</v>
      </c>
      <c r="AH261" s="1">
        <v>9</v>
      </c>
      <c r="AI261" s="1">
        <v>2024</v>
      </c>
      <c r="AJ261" s="1" t="str">
        <v>Y3</v>
      </c>
      <c r="AK261" s="1" t="str">
        <v>DPLUS-C16</v>
      </c>
      <c r="AL261" s="1">
        <v>0</v>
      </c>
    </row>
    <row r="262" spans="1:38" ht="14.25" customHeight="1" x14ac:dyDescent="0.25">
      <c r="A262" t="s">
        <v>104</v>
      </c>
      <c r="B262">
        <v>9</v>
      </c>
      <c r="C262">
        <v>2022</v>
      </c>
      <c r="D262" t="s">
        <v>822</v>
      </c>
      <c r="E262" t="s">
        <v>169</v>
      </c>
      <c r="F262">
        <v>0</v>
      </c>
      <c r="AG262" s="1" t="str">
        <v>DPLUS155</v>
      </c>
      <c r="AH262" s="1">
        <v>9</v>
      </c>
      <c r="AI262" s="1">
        <v>2022</v>
      </c>
      <c r="AJ262" s="1" t="str">
        <v>Y1</v>
      </c>
      <c r="AK262" s="1" t="str">
        <v>DPLUS-A03</v>
      </c>
      <c r="AL262" s="1">
        <v>0</v>
      </c>
    </row>
    <row r="263" spans="1:38" ht="14.25" customHeight="1" x14ac:dyDescent="0.25">
      <c r="A263" t="s">
        <v>104</v>
      </c>
      <c r="B263">
        <v>9</v>
      </c>
      <c r="C263">
        <v>2023</v>
      </c>
      <c r="D263" t="s">
        <v>823</v>
      </c>
      <c r="E263" t="s">
        <v>169</v>
      </c>
      <c r="F263">
        <v>2</v>
      </c>
      <c r="AG263" s="1" t="str">
        <v>DPLUS155</v>
      </c>
      <c r="AH263" s="1">
        <v>9</v>
      </c>
      <c r="AI263" s="1">
        <v>2023</v>
      </c>
      <c r="AJ263" s="1" t="str">
        <v>Y2</v>
      </c>
      <c r="AK263" s="1" t="str">
        <v>DPLUS-A03</v>
      </c>
      <c r="AL263" s="1">
        <v>2</v>
      </c>
    </row>
    <row r="264" spans="1:38" ht="14.25" customHeight="1" x14ac:dyDescent="0.25">
      <c r="A264" t="s">
        <v>104</v>
      </c>
      <c r="B264">
        <v>9</v>
      </c>
      <c r="C264">
        <v>2024</v>
      </c>
      <c r="D264" t="s">
        <v>824</v>
      </c>
      <c r="E264" t="s">
        <v>169</v>
      </c>
      <c r="F264">
        <v>0</v>
      </c>
      <c r="AG264" s="1" t="str">
        <v>DPLUS155</v>
      </c>
      <c r="AH264" s="1">
        <v>9</v>
      </c>
      <c r="AI264" s="1">
        <v>2024</v>
      </c>
      <c r="AJ264" s="1" t="str">
        <v>Y3</v>
      </c>
      <c r="AK264" s="1" t="str">
        <v>DPLUS-A03</v>
      </c>
      <c r="AL264" s="1">
        <v>0</v>
      </c>
    </row>
    <row r="265" spans="1:38" ht="14.25" customHeight="1" x14ac:dyDescent="0.25">
      <c r="A265" t="s">
        <v>104</v>
      </c>
      <c r="B265">
        <v>9</v>
      </c>
      <c r="C265">
        <v>2022</v>
      </c>
      <c r="D265" t="s">
        <v>822</v>
      </c>
      <c r="E265" t="s">
        <v>192</v>
      </c>
      <c r="F265">
        <v>0</v>
      </c>
      <c r="AG265" s="1" t="str">
        <v>DPLUS155</v>
      </c>
      <c r="AH265" s="1">
        <v>9</v>
      </c>
      <c r="AI265" s="1">
        <v>2022</v>
      </c>
      <c r="AJ265" s="1" t="str">
        <v>Y1</v>
      </c>
      <c r="AK265" s="1" t="str">
        <v>DPLUS-B03</v>
      </c>
      <c r="AL265" s="1">
        <v>0</v>
      </c>
    </row>
    <row r="266" spans="1:38" ht="14.25" customHeight="1" x14ac:dyDescent="0.25">
      <c r="A266" t="s">
        <v>104</v>
      </c>
      <c r="B266">
        <v>9</v>
      </c>
      <c r="C266">
        <v>2023</v>
      </c>
      <c r="D266" t="s">
        <v>823</v>
      </c>
      <c r="E266" t="s">
        <v>192</v>
      </c>
      <c r="F266">
        <v>10</v>
      </c>
      <c r="AG266" s="1" t="str">
        <v>DPLUS155</v>
      </c>
      <c r="AH266" s="1">
        <v>9</v>
      </c>
      <c r="AI266" s="1">
        <v>2023</v>
      </c>
      <c r="AJ266" s="1" t="str">
        <v>Y2</v>
      </c>
      <c r="AK266" s="1" t="str">
        <v>DPLUS-B03</v>
      </c>
      <c r="AL266" s="1">
        <v>10</v>
      </c>
    </row>
    <row r="267" spans="1:38" ht="14.25" customHeight="1" x14ac:dyDescent="0.25">
      <c r="A267" t="s">
        <v>104</v>
      </c>
      <c r="B267">
        <v>9</v>
      </c>
      <c r="C267">
        <v>2024</v>
      </c>
      <c r="D267" t="s">
        <v>824</v>
      </c>
      <c r="E267" t="s">
        <v>192</v>
      </c>
      <c r="F267">
        <v>0</v>
      </c>
      <c r="AG267" s="1" t="str">
        <v>DPLUS155</v>
      </c>
      <c r="AH267" s="1">
        <v>9</v>
      </c>
      <c r="AI267" s="1">
        <v>2024</v>
      </c>
      <c r="AJ267" s="1" t="str">
        <v>Y3</v>
      </c>
      <c r="AK267" s="1" t="str">
        <v>DPLUS-B03</v>
      </c>
      <c r="AL267" s="1">
        <v>0</v>
      </c>
    </row>
    <row r="268" spans="1:38" ht="14.25" customHeight="1" x14ac:dyDescent="0.25">
      <c r="A268" t="s">
        <v>104</v>
      </c>
      <c r="B268">
        <v>9</v>
      </c>
      <c r="C268">
        <v>2022</v>
      </c>
      <c r="D268" t="s">
        <v>822</v>
      </c>
      <c r="E268" t="s">
        <v>245</v>
      </c>
      <c r="F268">
        <v>6</v>
      </c>
      <c r="AG268" s="1" t="str">
        <v>DPLUS155</v>
      </c>
      <c r="AH268" s="1">
        <v>9</v>
      </c>
      <c r="AI268" s="1">
        <v>2022</v>
      </c>
      <c r="AJ268" s="1" t="str">
        <v>Y1</v>
      </c>
      <c r="AK268" s="1" t="str">
        <v>DPLUS-C15</v>
      </c>
      <c r="AL268" s="1">
        <v>6</v>
      </c>
    </row>
    <row r="269" spans="1:38" ht="14.25" customHeight="1" x14ac:dyDescent="0.25">
      <c r="A269" t="s">
        <v>104</v>
      </c>
      <c r="B269">
        <v>9</v>
      </c>
      <c r="C269">
        <v>2023</v>
      </c>
      <c r="D269" t="s">
        <v>823</v>
      </c>
      <c r="E269" t="s">
        <v>245</v>
      </c>
      <c r="F269">
        <v>9</v>
      </c>
      <c r="AG269" s="1" t="str">
        <v>DPLUS155</v>
      </c>
      <c r="AH269" s="1">
        <v>9</v>
      </c>
      <c r="AI269" s="1">
        <v>2023</v>
      </c>
      <c r="AJ269" s="1" t="str">
        <v>Y2</v>
      </c>
      <c r="AK269" s="1" t="str">
        <v>DPLUS-C15</v>
      </c>
      <c r="AL269" s="1">
        <v>9</v>
      </c>
    </row>
    <row r="270" spans="1:38" ht="14.25" customHeight="1" x14ac:dyDescent="0.25">
      <c r="A270" t="s">
        <v>104</v>
      </c>
      <c r="B270">
        <v>9</v>
      </c>
      <c r="C270">
        <v>2024</v>
      </c>
      <c r="D270" t="s">
        <v>824</v>
      </c>
      <c r="E270" t="s">
        <v>245</v>
      </c>
      <c r="F270">
        <v>0</v>
      </c>
      <c r="AG270" s="1" t="str">
        <v>DPLUS155</v>
      </c>
      <c r="AH270" s="1">
        <v>9</v>
      </c>
      <c r="AI270" s="1">
        <v>2024</v>
      </c>
      <c r="AJ270" s="1" t="str">
        <v>Y3</v>
      </c>
      <c r="AK270" s="1" t="str">
        <v>DPLUS-C15</v>
      </c>
      <c r="AL270" s="1">
        <v>0</v>
      </c>
    </row>
    <row r="271" spans="1:38" ht="14.25" customHeight="1" x14ac:dyDescent="0.25">
      <c r="A271" t="s">
        <v>104</v>
      </c>
      <c r="B271">
        <v>9</v>
      </c>
      <c r="C271">
        <v>2022</v>
      </c>
      <c r="D271" t="s">
        <v>822</v>
      </c>
      <c r="E271" t="s">
        <v>247</v>
      </c>
      <c r="F271">
        <v>200</v>
      </c>
      <c r="AG271" s="1" t="str">
        <v>DPLUS155</v>
      </c>
      <c r="AH271" s="1">
        <v>9</v>
      </c>
      <c r="AI271" s="1">
        <v>2022</v>
      </c>
      <c r="AJ271" s="1" t="str">
        <v>Y1</v>
      </c>
      <c r="AK271" s="1" t="str">
        <v>DPLUS-C16</v>
      </c>
      <c r="AL271" s="1">
        <v>200</v>
      </c>
    </row>
    <row r="272" spans="1:38" ht="14.25" customHeight="1" x14ac:dyDescent="0.25">
      <c r="A272" t="s">
        <v>104</v>
      </c>
      <c r="B272">
        <v>9</v>
      </c>
      <c r="C272">
        <v>2023</v>
      </c>
      <c r="D272" t="s">
        <v>823</v>
      </c>
      <c r="E272" t="s">
        <v>247</v>
      </c>
      <c r="F272">
        <v>3000</v>
      </c>
      <c r="AG272" s="1" t="str">
        <v>DPLUS155</v>
      </c>
      <c r="AH272" s="1">
        <v>9</v>
      </c>
      <c r="AI272" s="1">
        <v>2023</v>
      </c>
      <c r="AJ272" s="1" t="str">
        <v>Y2</v>
      </c>
      <c r="AK272" s="1" t="str">
        <v>DPLUS-C16</v>
      </c>
      <c r="AL272" s="1">
        <v>3000</v>
      </c>
    </row>
    <row r="273" spans="1:38" ht="14.25" customHeight="1" x14ac:dyDescent="0.25">
      <c r="A273" t="s">
        <v>104</v>
      </c>
      <c r="B273">
        <v>9</v>
      </c>
      <c r="C273">
        <v>2024</v>
      </c>
      <c r="D273" t="s">
        <v>824</v>
      </c>
      <c r="E273" t="s">
        <v>247</v>
      </c>
      <c r="F273">
        <v>0</v>
      </c>
      <c r="AG273" s="1" t="str">
        <v>DPLUS155</v>
      </c>
      <c r="AH273" s="1">
        <v>9</v>
      </c>
      <c r="AI273" s="1">
        <v>2024</v>
      </c>
      <c r="AJ273" s="1" t="str">
        <v>Y3</v>
      </c>
      <c r="AK273" s="1" t="str">
        <v>DPLUS-C16</v>
      </c>
      <c r="AL273" s="1">
        <v>0</v>
      </c>
    </row>
    <row r="274" spans="1:38" ht="14.25" customHeight="1" x14ac:dyDescent="0.25">
      <c r="A274" t="s">
        <v>106</v>
      </c>
      <c r="B274">
        <v>9</v>
      </c>
      <c r="C274">
        <v>2022</v>
      </c>
      <c r="D274" t="s">
        <v>822</v>
      </c>
      <c r="E274" t="s">
        <v>164</v>
      </c>
      <c r="F274">
        <v>0</v>
      </c>
      <c r="AG274" s="1" t="str">
        <v>DPLUS157</v>
      </c>
      <c r="AH274" s="1">
        <v>9</v>
      </c>
      <c r="AI274" s="1">
        <v>2022</v>
      </c>
      <c r="AJ274" s="1" t="str">
        <v>Y1</v>
      </c>
      <c r="AK274" s="1" t="str">
        <v>DPLUS-A01</v>
      </c>
      <c r="AL274" s="1">
        <v>0</v>
      </c>
    </row>
    <row r="275" spans="1:38" ht="14.25" customHeight="1" x14ac:dyDescent="0.25">
      <c r="A275" t="s">
        <v>106</v>
      </c>
      <c r="B275">
        <v>9</v>
      </c>
      <c r="C275">
        <v>2023</v>
      </c>
      <c r="D275" t="s">
        <v>823</v>
      </c>
      <c r="E275" t="s">
        <v>164</v>
      </c>
      <c r="F275">
        <v>55</v>
      </c>
      <c r="AG275" s="1" t="str">
        <v>DPLUS157</v>
      </c>
      <c r="AH275" s="1">
        <v>9</v>
      </c>
      <c r="AI275" s="1">
        <v>2023</v>
      </c>
      <c r="AJ275" s="1" t="str">
        <v>Y2</v>
      </c>
      <c r="AK275" s="1" t="str">
        <v>DPLUS-A01</v>
      </c>
      <c r="AL275" s="1">
        <v>55</v>
      </c>
    </row>
    <row r="276" spans="1:38" ht="14.25" customHeight="1" x14ac:dyDescent="0.25">
      <c r="A276" t="s">
        <v>106</v>
      </c>
      <c r="B276">
        <v>9</v>
      </c>
      <c r="C276">
        <v>2024</v>
      </c>
      <c r="D276" t="s">
        <v>824</v>
      </c>
      <c r="E276" t="s">
        <v>164</v>
      </c>
      <c r="F276">
        <v>54</v>
      </c>
      <c r="AG276" s="1" t="str">
        <v>DPLUS157</v>
      </c>
      <c r="AH276" s="1">
        <v>9</v>
      </c>
      <c r="AI276" s="1">
        <v>2024</v>
      </c>
      <c r="AJ276" s="1" t="str">
        <v>Y3</v>
      </c>
      <c r="AK276" s="1" t="str">
        <v>DPLUS-A01</v>
      </c>
      <c r="AL276" s="1">
        <v>54</v>
      </c>
    </row>
    <row r="277" spans="1:38" ht="14.25" customHeight="1" x14ac:dyDescent="0.25">
      <c r="A277" t="s">
        <v>108</v>
      </c>
      <c r="B277">
        <v>10</v>
      </c>
      <c r="C277">
        <v>2023</v>
      </c>
      <c r="D277" t="s">
        <v>822</v>
      </c>
      <c r="E277" t="s">
        <v>164</v>
      </c>
      <c r="F277">
        <v>20</v>
      </c>
      <c r="AG277" s="1" t="str">
        <v>DPLUS158</v>
      </c>
      <c r="AH277" s="1">
        <v>10</v>
      </c>
      <c r="AI277" s="1">
        <v>2023</v>
      </c>
      <c r="AJ277" s="1" t="str">
        <v>Y1</v>
      </c>
      <c r="AK277" s="1" t="str">
        <v>DPLUS-A01</v>
      </c>
      <c r="AL277" s="1">
        <v>20</v>
      </c>
    </row>
    <row r="278" spans="1:38" ht="14.25" customHeight="1" x14ac:dyDescent="0.25">
      <c r="A278" t="s">
        <v>108</v>
      </c>
      <c r="B278">
        <v>10</v>
      </c>
      <c r="C278">
        <v>2024</v>
      </c>
      <c r="D278" t="s">
        <v>823</v>
      </c>
      <c r="E278" t="s">
        <v>164</v>
      </c>
      <c r="F278">
        <v>0</v>
      </c>
      <c r="AG278" s="1" t="str">
        <v>DPLUS158</v>
      </c>
      <c r="AH278" s="1">
        <v>10</v>
      </c>
      <c r="AI278" s="1">
        <v>2024</v>
      </c>
      <c r="AJ278" s="1" t="str">
        <v>Y2</v>
      </c>
      <c r="AK278" s="1" t="str">
        <v>DPLUS-A01</v>
      </c>
      <c r="AL278" s="1">
        <v>0</v>
      </c>
    </row>
    <row r="279" spans="1:38" ht="14.25" customHeight="1" x14ac:dyDescent="0.25">
      <c r="A279" t="s">
        <v>108</v>
      </c>
      <c r="B279">
        <v>10</v>
      </c>
      <c r="C279">
        <v>2023</v>
      </c>
      <c r="D279" t="s">
        <v>822</v>
      </c>
      <c r="E279" t="s">
        <v>250</v>
      </c>
      <c r="F279">
        <v>1</v>
      </c>
      <c r="AG279" s="1" t="str">
        <v>DPLUS158</v>
      </c>
      <c r="AH279" s="1">
        <v>10</v>
      </c>
      <c r="AI279" s="1">
        <v>2023</v>
      </c>
      <c r="AJ279" s="1" t="str">
        <v>Y1</v>
      </c>
      <c r="AK279" s="1" t="str">
        <v>DPLUS-C17</v>
      </c>
      <c r="AL279" s="1">
        <v>1</v>
      </c>
    </row>
    <row r="280" spans="1:38" ht="14.25" customHeight="1" x14ac:dyDescent="0.25">
      <c r="A280" t="s">
        <v>108</v>
      </c>
      <c r="B280">
        <v>10</v>
      </c>
      <c r="C280">
        <v>2024</v>
      </c>
      <c r="D280" t="s">
        <v>823</v>
      </c>
      <c r="E280" t="s">
        <v>250</v>
      </c>
      <c r="F280">
        <v>0</v>
      </c>
      <c r="AG280" s="1" t="str">
        <v>DPLUS158</v>
      </c>
      <c r="AH280" s="1">
        <v>10</v>
      </c>
      <c r="AI280" s="1">
        <v>2024</v>
      </c>
      <c r="AJ280" s="1" t="str">
        <v>Y2</v>
      </c>
      <c r="AK280" s="1" t="str">
        <v>DPLUS-C17</v>
      </c>
      <c r="AL280" s="1">
        <v>0</v>
      </c>
    </row>
    <row r="281" spans="1:38" ht="14.25" customHeight="1" x14ac:dyDescent="0.25">
      <c r="A281" t="s">
        <v>309</v>
      </c>
      <c r="B281">
        <v>10</v>
      </c>
      <c r="C281">
        <v>2023</v>
      </c>
      <c r="D281" t="s">
        <v>822</v>
      </c>
      <c r="E281" t="s">
        <v>188</v>
      </c>
      <c r="F281">
        <v>0</v>
      </c>
      <c r="AG281" s="1" t="str">
        <v>DPLUS159</v>
      </c>
      <c r="AH281" s="1">
        <v>10</v>
      </c>
      <c r="AI281" s="1">
        <v>2023</v>
      </c>
      <c r="AJ281" s="1" t="str">
        <v>Y1</v>
      </c>
      <c r="AK281" s="1" t="str">
        <v>DPLUS-B01</v>
      </c>
      <c r="AL281" s="1">
        <v>0</v>
      </c>
    </row>
    <row r="282" spans="1:38" ht="14.25" customHeight="1" x14ac:dyDescent="0.25">
      <c r="A282" t="s">
        <v>309</v>
      </c>
      <c r="B282">
        <v>10</v>
      </c>
      <c r="C282">
        <v>2024</v>
      </c>
      <c r="D282" t="s">
        <v>823</v>
      </c>
      <c r="E282" t="s">
        <v>188</v>
      </c>
      <c r="F282">
        <v>0</v>
      </c>
      <c r="AG282" s="1" t="str">
        <v>DPLUS159</v>
      </c>
      <c r="AH282" s="1">
        <v>10</v>
      </c>
      <c r="AI282" s="1">
        <v>2024</v>
      </c>
      <c r="AJ282" s="1" t="str">
        <v>Y2</v>
      </c>
      <c r="AK282" s="1" t="str">
        <v>DPLUS-B01</v>
      </c>
      <c r="AL282" s="1">
        <v>0</v>
      </c>
    </row>
    <row r="283" spans="1:38" ht="14.25" customHeight="1" x14ac:dyDescent="0.25">
      <c r="A283" t="s">
        <v>309</v>
      </c>
      <c r="B283">
        <v>10</v>
      </c>
      <c r="C283">
        <v>2023</v>
      </c>
      <c r="D283" t="s">
        <v>822</v>
      </c>
      <c r="E283" t="s">
        <v>190</v>
      </c>
      <c r="F283">
        <v>0</v>
      </c>
      <c r="AG283" s="1" t="str">
        <v>DPLUS159</v>
      </c>
      <c r="AH283" s="1">
        <v>10</v>
      </c>
      <c r="AI283" s="1">
        <v>2023</v>
      </c>
      <c r="AJ283" s="1" t="str">
        <v>Y1</v>
      </c>
      <c r="AK283" s="1" t="str">
        <v>DPLUS-B02</v>
      </c>
      <c r="AL283" s="1">
        <v>0</v>
      </c>
    </row>
    <row r="284" spans="1:38" ht="14.25" customHeight="1" x14ac:dyDescent="0.25">
      <c r="A284" t="s">
        <v>309</v>
      </c>
      <c r="B284">
        <v>10</v>
      </c>
      <c r="C284">
        <v>2024</v>
      </c>
      <c r="D284" t="s">
        <v>823</v>
      </c>
      <c r="E284" t="s">
        <v>190</v>
      </c>
      <c r="F284">
        <v>0</v>
      </c>
      <c r="AG284" s="1" t="str">
        <v>DPLUS159</v>
      </c>
      <c r="AH284" s="1">
        <v>10</v>
      </c>
      <c r="AI284" s="1">
        <v>2024</v>
      </c>
      <c r="AJ284" s="1" t="str">
        <v>Y2</v>
      </c>
      <c r="AK284" s="1" t="str">
        <v>DPLUS-B02</v>
      </c>
      <c r="AL284" s="1">
        <v>0</v>
      </c>
    </row>
    <row r="285" spans="1:38" ht="14.25" customHeight="1" x14ac:dyDescent="0.25">
      <c r="A285" t="s">
        <v>309</v>
      </c>
      <c r="B285">
        <v>10</v>
      </c>
      <c r="C285">
        <v>2023</v>
      </c>
      <c r="D285" t="s">
        <v>822</v>
      </c>
      <c r="E285" t="s">
        <v>217</v>
      </c>
      <c r="F285">
        <v>0</v>
      </c>
      <c r="AG285" s="1" t="str">
        <v>DPLUS159</v>
      </c>
      <c r="AH285" s="1">
        <v>10</v>
      </c>
      <c r="AI285" s="1">
        <v>2023</v>
      </c>
      <c r="AJ285" s="1" t="str">
        <v>Y1</v>
      </c>
      <c r="AK285" s="1" t="str">
        <v>DPLUS-C02</v>
      </c>
      <c r="AL285" s="1">
        <v>0</v>
      </c>
    </row>
    <row r="286" spans="1:38" ht="14.25" customHeight="1" x14ac:dyDescent="0.25">
      <c r="A286" t="s">
        <v>309</v>
      </c>
      <c r="B286">
        <v>10</v>
      </c>
      <c r="C286">
        <v>2024</v>
      </c>
      <c r="D286" t="s">
        <v>823</v>
      </c>
      <c r="E286" t="s">
        <v>217</v>
      </c>
      <c r="F286">
        <v>0</v>
      </c>
      <c r="AG286" s="1" t="str">
        <v>DPLUS159</v>
      </c>
      <c r="AH286" s="1">
        <v>10</v>
      </c>
      <c r="AI286" s="1">
        <v>2024</v>
      </c>
      <c r="AJ286" s="1" t="str">
        <v>Y2</v>
      </c>
      <c r="AK286" s="1" t="str">
        <v>DPLUS-C02</v>
      </c>
      <c r="AL286" s="1">
        <v>0</v>
      </c>
    </row>
    <row r="287" spans="1:38" ht="14.25" customHeight="1" x14ac:dyDescent="0.25">
      <c r="A287" t="s">
        <v>309</v>
      </c>
      <c r="B287">
        <v>10</v>
      </c>
      <c r="C287">
        <v>2023</v>
      </c>
      <c r="D287" t="s">
        <v>822</v>
      </c>
      <c r="E287" t="s">
        <v>263</v>
      </c>
      <c r="F287">
        <v>0</v>
      </c>
      <c r="AG287" s="1" t="str">
        <v>DPLUS159</v>
      </c>
      <c r="AH287" s="1">
        <v>10</v>
      </c>
      <c r="AI287" s="1">
        <v>2023</v>
      </c>
      <c r="AJ287" s="1" t="str">
        <v>Y1</v>
      </c>
      <c r="AK287" s="1" t="str">
        <v>DPLUS-D04</v>
      </c>
      <c r="AL287" s="1">
        <v>0</v>
      </c>
    </row>
    <row r="288" spans="1:38" ht="14.25" customHeight="1" x14ac:dyDescent="0.25">
      <c r="A288" t="s">
        <v>309</v>
      </c>
      <c r="B288">
        <v>10</v>
      </c>
      <c r="C288">
        <v>2024</v>
      </c>
      <c r="D288" t="s">
        <v>823</v>
      </c>
      <c r="E288" t="s">
        <v>263</v>
      </c>
      <c r="F288">
        <v>0</v>
      </c>
      <c r="AG288" s="1" t="str">
        <v>DPLUS159</v>
      </c>
      <c r="AH288" s="1">
        <v>10</v>
      </c>
      <c r="AI288" s="1">
        <v>2024</v>
      </c>
      <c r="AJ288" s="1" t="str">
        <v>Y2</v>
      </c>
      <c r="AK288" s="1" t="str">
        <v>DPLUS-D04</v>
      </c>
      <c r="AL288" s="1">
        <v>0</v>
      </c>
    </row>
    <row r="289" spans="1:38" ht="14.25" customHeight="1" x14ac:dyDescent="0.25">
      <c r="A289" t="s">
        <v>310</v>
      </c>
      <c r="B289">
        <v>10</v>
      </c>
      <c r="C289">
        <v>2023</v>
      </c>
      <c r="D289" t="s">
        <v>822</v>
      </c>
      <c r="E289" t="s">
        <v>164</v>
      </c>
      <c r="F289">
        <v>40</v>
      </c>
      <c r="AG289" s="1" t="str">
        <v>DPLUS160</v>
      </c>
      <c r="AH289" s="1">
        <v>10</v>
      </c>
      <c r="AI289" s="1">
        <v>2023</v>
      </c>
      <c r="AJ289" s="1" t="str">
        <v>Y1</v>
      </c>
      <c r="AK289" s="1" t="str">
        <v>DPLUS-A01</v>
      </c>
      <c r="AL289" s="1">
        <v>40</v>
      </c>
    </row>
    <row r="290" spans="1:38" ht="14.25" customHeight="1" x14ac:dyDescent="0.25">
      <c r="A290" t="s">
        <v>310</v>
      </c>
      <c r="B290">
        <v>10</v>
      </c>
      <c r="C290">
        <v>2024</v>
      </c>
      <c r="D290" t="s">
        <v>823</v>
      </c>
      <c r="E290" t="s">
        <v>164</v>
      </c>
      <c r="F290">
        <v>20</v>
      </c>
      <c r="AG290" s="1" t="str">
        <v>DPLUS160</v>
      </c>
      <c r="AH290" s="1">
        <v>10</v>
      </c>
      <c r="AI290" s="1">
        <v>2024</v>
      </c>
      <c r="AJ290" s="1" t="str">
        <v>Y2</v>
      </c>
      <c r="AK290" s="1" t="str">
        <v>DPLUS-A01</v>
      </c>
      <c r="AL290" s="1">
        <v>20</v>
      </c>
    </row>
    <row r="291" spans="1:38" ht="14.25" customHeight="1" x14ac:dyDescent="0.25">
      <c r="A291" t="s">
        <v>310</v>
      </c>
      <c r="B291">
        <v>10</v>
      </c>
      <c r="C291">
        <v>2023</v>
      </c>
      <c r="D291" t="s">
        <v>822</v>
      </c>
      <c r="E291" t="s">
        <v>169</v>
      </c>
      <c r="F291">
        <v>7</v>
      </c>
      <c r="AG291" s="1" t="str">
        <v>DPLUS160</v>
      </c>
      <c r="AH291" s="1">
        <v>10</v>
      </c>
      <c r="AI291" s="1">
        <v>2023</v>
      </c>
      <c r="AJ291" s="1" t="str">
        <v>Y1</v>
      </c>
      <c r="AK291" s="1" t="str">
        <v>DPLUS-A03</v>
      </c>
      <c r="AL291" s="1">
        <v>7</v>
      </c>
    </row>
    <row r="292" spans="1:38" ht="14.25" customHeight="1" x14ac:dyDescent="0.25">
      <c r="A292" t="s">
        <v>310</v>
      </c>
      <c r="B292">
        <v>10</v>
      </c>
      <c r="C292">
        <v>2024</v>
      </c>
      <c r="D292" t="s">
        <v>823</v>
      </c>
      <c r="E292" t="s">
        <v>169</v>
      </c>
      <c r="F292">
        <v>0</v>
      </c>
      <c r="AG292" s="1" t="str">
        <v>DPLUS160</v>
      </c>
      <c r="AH292" s="1">
        <v>10</v>
      </c>
      <c r="AI292" s="1">
        <v>2024</v>
      </c>
      <c r="AJ292" s="1" t="str">
        <v>Y2</v>
      </c>
      <c r="AK292" s="1" t="str">
        <v>DPLUS-A03</v>
      </c>
      <c r="AL292" s="1">
        <v>0</v>
      </c>
    </row>
    <row r="293" spans="1:38" ht="14.25" customHeight="1" x14ac:dyDescent="0.25">
      <c r="A293" t="s">
        <v>310</v>
      </c>
      <c r="B293">
        <v>10</v>
      </c>
      <c r="C293">
        <v>2023</v>
      </c>
      <c r="D293" t="s">
        <v>822</v>
      </c>
      <c r="E293" t="s">
        <v>171</v>
      </c>
      <c r="F293">
        <v>3</v>
      </c>
      <c r="AG293" s="1" t="str">
        <v>DPLUS160</v>
      </c>
      <c r="AH293" s="1">
        <v>10</v>
      </c>
      <c r="AI293" s="1">
        <v>2023</v>
      </c>
      <c r="AJ293" s="1" t="str">
        <v>Y1</v>
      </c>
      <c r="AK293" s="1" t="str">
        <v>DPLUS-A04</v>
      </c>
      <c r="AL293" s="1">
        <v>3</v>
      </c>
    </row>
    <row r="294" spans="1:38" ht="14.25" customHeight="1" x14ac:dyDescent="0.25">
      <c r="A294" t="s">
        <v>310</v>
      </c>
      <c r="B294">
        <v>10</v>
      </c>
      <c r="C294">
        <v>2024</v>
      </c>
      <c r="D294" t="s">
        <v>823</v>
      </c>
      <c r="E294" t="s">
        <v>171</v>
      </c>
      <c r="F294">
        <v>0</v>
      </c>
      <c r="AG294" s="1" t="str">
        <v>DPLUS160</v>
      </c>
      <c r="AH294" s="1">
        <v>10</v>
      </c>
      <c r="AI294" s="1">
        <v>2024</v>
      </c>
      <c r="AJ294" s="1" t="str">
        <v>Y2</v>
      </c>
      <c r="AK294" s="1" t="str">
        <v>DPLUS-A04</v>
      </c>
      <c r="AL294" s="1">
        <v>0</v>
      </c>
    </row>
    <row r="295" spans="1:38" ht="14.25" customHeight="1" x14ac:dyDescent="0.25">
      <c r="A295" t="s">
        <v>310</v>
      </c>
      <c r="B295">
        <v>10</v>
      </c>
      <c r="C295">
        <v>2023</v>
      </c>
      <c r="D295" t="s">
        <v>822</v>
      </c>
      <c r="E295" t="s">
        <v>174</v>
      </c>
      <c r="F295">
        <v>4</v>
      </c>
      <c r="AG295" s="1" t="str">
        <v>DPLUS160</v>
      </c>
      <c r="AH295" s="1">
        <v>10</v>
      </c>
      <c r="AI295" s="1">
        <v>2023</v>
      </c>
      <c r="AJ295" s="1" t="str">
        <v>Y1</v>
      </c>
      <c r="AK295" s="1" t="str">
        <v>DPLUS-A05</v>
      </c>
      <c r="AL295" s="1">
        <v>4</v>
      </c>
    </row>
    <row r="296" spans="1:38" ht="14.25" customHeight="1" x14ac:dyDescent="0.25">
      <c r="A296" t="s">
        <v>310</v>
      </c>
      <c r="B296">
        <v>10</v>
      </c>
      <c r="C296">
        <v>2024</v>
      </c>
      <c r="D296" t="s">
        <v>823</v>
      </c>
      <c r="E296" t="s">
        <v>174</v>
      </c>
      <c r="F296">
        <v>0</v>
      </c>
      <c r="AG296" s="1" t="str">
        <v>DPLUS160</v>
      </c>
      <c r="AH296" s="1">
        <v>10</v>
      </c>
      <c r="AI296" s="1">
        <v>2024</v>
      </c>
      <c r="AJ296" s="1" t="str">
        <v>Y2</v>
      </c>
      <c r="AK296" s="1" t="str">
        <v>DPLUS-A05</v>
      </c>
      <c r="AL296" s="1">
        <v>0</v>
      </c>
    </row>
    <row r="297" spans="1:38" ht="14.25" customHeight="1" x14ac:dyDescent="0.25">
      <c r="A297" t="s">
        <v>310</v>
      </c>
      <c r="B297">
        <v>10</v>
      </c>
      <c r="C297">
        <v>2023</v>
      </c>
      <c r="D297" t="s">
        <v>822</v>
      </c>
      <c r="E297" t="s">
        <v>179</v>
      </c>
      <c r="F297">
        <v>6</v>
      </c>
      <c r="AG297" s="1" t="str">
        <v>DPLUS160</v>
      </c>
      <c r="AH297" s="1">
        <v>10</v>
      </c>
      <c r="AI297" s="1">
        <v>2023</v>
      </c>
      <c r="AJ297" s="1" t="str">
        <v>Y1</v>
      </c>
      <c r="AK297" s="1" t="str">
        <v>DPLUS-A07</v>
      </c>
      <c r="AL297" s="1">
        <v>6</v>
      </c>
    </row>
    <row r="298" spans="1:38" ht="14.25" customHeight="1" x14ac:dyDescent="0.25">
      <c r="A298" t="s">
        <v>310</v>
      </c>
      <c r="B298">
        <v>10</v>
      </c>
      <c r="C298">
        <v>2024</v>
      </c>
      <c r="D298" t="s">
        <v>823</v>
      </c>
      <c r="E298" t="s">
        <v>179</v>
      </c>
      <c r="F298">
        <v>0</v>
      </c>
      <c r="AG298" s="1" t="str">
        <v>DPLUS160</v>
      </c>
      <c r="AH298" s="1">
        <v>10</v>
      </c>
      <c r="AI298" s="1">
        <v>2024</v>
      </c>
      <c r="AJ298" s="1" t="str">
        <v>Y2</v>
      </c>
      <c r="AK298" s="1" t="str">
        <v>DPLUS-A07</v>
      </c>
      <c r="AL298" s="1">
        <v>0</v>
      </c>
    </row>
    <row r="299" spans="1:38" ht="14.25" customHeight="1" x14ac:dyDescent="0.25">
      <c r="A299" t="s">
        <v>310</v>
      </c>
      <c r="B299">
        <v>10</v>
      </c>
      <c r="C299">
        <v>2023</v>
      </c>
      <c r="D299" t="s">
        <v>822</v>
      </c>
      <c r="E299" t="s">
        <v>238</v>
      </c>
      <c r="F299">
        <v>12</v>
      </c>
      <c r="AG299" s="1" t="str">
        <v>DPLUS160</v>
      </c>
      <c r="AH299" s="1">
        <v>10</v>
      </c>
      <c r="AI299" s="1">
        <v>2023</v>
      </c>
      <c r="AJ299" s="1" t="str">
        <v>Y1</v>
      </c>
      <c r="AK299" s="1" t="str">
        <v>DPLUS-C12</v>
      </c>
      <c r="AL299" s="1">
        <v>12</v>
      </c>
    </row>
    <row r="300" spans="1:38" ht="14.25" customHeight="1" x14ac:dyDescent="0.25">
      <c r="A300" t="s">
        <v>310</v>
      </c>
      <c r="B300">
        <v>10</v>
      </c>
      <c r="C300">
        <v>2024</v>
      </c>
      <c r="D300" t="s">
        <v>823</v>
      </c>
      <c r="E300" t="s">
        <v>238</v>
      </c>
      <c r="F300">
        <v>8</v>
      </c>
      <c r="AG300" s="1" t="str">
        <v>DPLUS160</v>
      </c>
      <c r="AH300" s="1">
        <v>10</v>
      </c>
      <c r="AI300" s="1">
        <v>2024</v>
      </c>
      <c r="AJ300" s="1" t="str">
        <v>Y2</v>
      </c>
      <c r="AK300" s="1" t="str">
        <v>DPLUS-C12</v>
      </c>
      <c r="AL300" s="1">
        <v>8</v>
      </c>
    </row>
    <row r="301" spans="1:38" ht="14.25" customHeight="1" x14ac:dyDescent="0.25">
      <c r="A301" t="s">
        <v>310</v>
      </c>
      <c r="B301">
        <v>10</v>
      </c>
      <c r="C301">
        <v>2023</v>
      </c>
      <c r="D301" t="s">
        <v>822</v>
      </c>
      <c r="E301" t="s">
        <v>243</v>
      </c>
      <c r="F301">
        <v>15</v>
      </c>
      <c r="AG301" s="1" t="str">
        <v>DPLUS160</v>
      </c>
      <c r="AH301" s="1">
        <v>10</v>
      </c>
      <c r="AI301" s="1">
        <v>2023</v>
      </c>
      <c r="AJ301" s="1" t="str">
        <v>Y1</v>
      </c>
      <c r="AK301" s="1" t="str">
        <v>DPLUS-C14</v>
      </c>
      <c r="AL301" s="1">
        <v>15</v>
      </c>
    </row>
    <row r="302" spans="1:38" ht="14.25" customHeight="1" x14ac:dyDescent="0.25">
      <c r="A302" t="s">
        <v>310</v>
      </c>
      <c r="B302">
        <v>10</v>
      </c>
      <c r="C302">
        <v>2024</v>
      </c>
      <c r="D302" t="s">
        <v>823</v>
      </c>
      <c r="E302" t="s">
        <v>243</v>
      </c>
      <c r="F302">
        <v>0</v>
      </c>
      <c r="AG302" s="1" t="str">
        <v>DPLUS160</v>
      </c>
      <c r="AH302" s="1">
        <v>10</v>
      </c>
      <c r="AI302" s="1">
        <v>2024</v>
      </c>
      <c r="AJ302" s="1" t="str">
        <v>Y2</v>
      </c>
      <c r="AK302" s="1" t="str">
        <v>DPLUS-C14</v>
      </c>
      <c r="AL302" s="1">
        <v>0</v>
      </c>
    </row>
    <row r="303" spans="1:38" ht="14.25" customHeight="1" x14ac:dyDescent="0.25">
      <c r="A303" t="s">
        <v>310</v>
      </c>
      <c r="B303">
        <v>10</v>
      </c>
      <c r="C303">
        <v>2023</v>
      </c>
      <c r="D303" t="s">
        <v>822</v>
      </c>
      <c r="E303" t="s">
        <v>245</v>
      </c>
      <c r="F303">
        <v>2</v>
      </c>
      <c r="AG303" s="1" t="str">
        <v>DPLUS160</v>
      </c>
      <c r="AH303" s="1">
        <v>10</v>
      </c>
      <c r="AI303" s="1">
        <v>2023</v>
      </c>
      <c r="AJ303" s="1" t="str">
        <v>Y1</v>
      </c>
      <c r="AK303" s="1" t="str">
        <v>DPLUS-C15</v>
      </c>
      <c r="AL303" s="1">
        <v>2</v>
      </c>
    </row>
    <row r="304" spans="1:38" ht="14.25" customHeight="1" x14ac:dyDescent="0.25">
      <c r="A304" t="s">
        <v>310</v>
      </c>
      <c r="B304">
        <v>10</v>
      </c>
      <c r="C304">
        <v>2024</v>
      </c>
      <c r="D304" t="s">
        <v>823</v>
      </c>
      <c r="E304" t="s">
        <v>245</v>
      </c>
      <c r="F304">
        <v>0</v>
      </c>
      <c r="AG304" s="1" t="str">
        <v>DPLUS160</v>
      </c>
      <c r="AH304" s="1">
        <v>10</v>
      </c>
      <c r="AI304" s="1">
        <v>2024</v>
      </c>
      <c r="AJ304" s="1" t="str">
        <v>Y2</v>
      </c>
      <c r="AK304" s="1" t="str">
        <v>DPLUS-C15</v>
      </c>
      <c r="AL304" s="1">
        <v>0</v>
      </c>
    </row>
    <row r="305" spans="1:38" ht="14.25" customHeight="1" x14ac:dyDescent="0.25">
      <c r="A305" t="s">
        <v>310</v>
      </c>
      <c r="B305">
        <v>10</v>
      </c>
      <c r="C305">
        <v>2023</v>
      </c>
      <c r="D305" t="s">
        <v>822</v>
      </c>
      <c r="E305" t="s">
        <v>254</v>
      </c>
      <c r="F305">
        <v>4</v>
      </c>
      <c r="AG305" s="1" t="str">
        <v>DPLUS160</v>
      </c>
      <c r="AH305" s="1">
        <v>10</v>
      </c>
      <c r="AI305" s="1">
        <v>2023</v>
      </c>
      <c r="AJ305" s="1" t="str">
        <v>Y1</v>
      </c>
      <c r="AK305" s="1" t="str">
        <v>DPLUS-C19</v>
      </c>
      <c r="AL305" s="1">
        <v>4</v>
      </c>
    </row>
    <row r="306" spans="1:38" ht="14.25" customHeight="1" x14ac:dyDescent="0.25">
      <c r="A306" t="s">
        <v>310</v>
      </c>
      <c r="B306">
        <v>10</v>
      </c>
      <c r="C306">
        <v>2024</v>
      </c>
      <c r="D306" t="s">
        <v>823</v>
      </c>
      <c r="E306" t="s">
        <v>254</v>
      </c>
      <c r="F306">
        <v>0</v>
      </c>
      <c r="AG306" s="1" t="str">
        <v>DPLUS160</v>
      </c>
      <c r="AH306" s="1">
        <v>10</v>
      </c>
      <c r="AI306" s="1">
        <v>2024</v>
      </c>
      <c r="AJ306" s="1" t="str">
        <v>Y2</v>
      </c>
      <c r="AK306" s="1" t="str">
        <v>DPLUS-C19</v>
      </c>
      <c r="AL306" s="1">
        <v>0</v>
      </c>
    </row>
    <row r="307" spans="1:38" ht="14.25" customHeight="1" x14ac:dyDescent="0.25">
      <c r="A307" t="s">
        <v>311</v>
      </c>
      <c r="B307">
        <v>10</v>
      </c>
      <c r="C307">
        <v>2023</v>
      </c>
      <c r="D307" t="s">
        <v>822</v>
      </c>
      <c r="E307" t="s">
        <v>164</v>
      </c>
      <c r="F307">
        <v>2</v>
      </c>
      <c r="AG307" s="1" t="str">
        <v>DPLUS161</v>
      </c>
      <c r="AH307" s="1">
        <v>10</v>
      </c>
      <c r="AI307" s="1">
        <v>2023</v>
      </c>
      <c r="AJ307" s="1" t="str">
        <v>Y1</v>
      </c>
      <c r="AK307" s="1" t="str">
        <v>DPLUS-A01</v>
      </c>
      <c r="AL307" s="1">
        <v>2</v>
      </c>
    </row>
    <row r="308" spans="1:38" ht="14.25" customHeight="1" x14ac:dyDescent="0.25">
      <c r="A308" t="s">
        <v>311</v>
      </c>
      <c r="B308">
        <v>10</v>
      </c>
      <c r="C308">
        <v>2024</v>
      </c>
      <c r="D308" t="s">
        <v>823</v>
      </c>
      <c r="E308" t="s">
        <v>164</v>
      </c>
      <c r="F308">
        <v>5</v>
      </c>
      <c r="AG308" s="1" t="str">
        <v>DPLUS161</v>
      </c>
      <c r="AH308" s="1">
        <v>10</v>
      </c>
      <c r="AI308" s="1">
        <v>2024</v>
      </c>
      <c r="AJ308" s="1" t="str">
        <v>Y2</v>
      </c>
      <c r="AK308" s="1" t="str">
        <v>DPLUS-A01</v>
      </c>
      <c r="AL308" s="1">
        <v>5</v>
      </c>
    </row>
    <row r="309" spans="1:38" ht="14.25" customHeight="1" x14ac:dyDescent="0.25">
      <c r="A309" t="s">
        <v>311</v>
      </c>
      <c r="B309">
        <v>10</v>
      </c>
      <c r="C309">
        <v>2023</v>
      </c>
      <c r="D309" t="s">
        <v>822</v>
      </c>
      <c r="E309" t="s">
        <v>169</v>
      </c>
      <c r="F309">
        <v>1</v>
      </c>
      <c r="AG309" s="1" t="str">
        <v>DPLUS161</v>
      </c>
      <c r="AH309" s="1">
        <v>10</v>
      </c>
      <c r="AI309" s="1">
        <v>2023</v>
      </c>
      <c r="AJ309" s="1" t="str">
        <v>Y1</v>
      </c>
      <c r="AK309" s="1" t="str">
        <v>DPLUS-A03</v>
      </c>
      <c r="AL309" s="1">
        <v>1</v>
      </c>
    </row>
    <row r="310" spans="1:38" ht="14.25" customHeight="1" x14ac:dyDescent="0.25">
      <c r="A310" t="s">
        <v>311</v>
      </c>
      <c r="B310">
        <v>10</v>
      </c>
      <c r="C310">
        <v>2024</v>
      </c>
      <c r="D310" t="s">
        <v>823</v>
      </c>
      <c r="E310" t="s">
        <v>169</v>
      </c>
      <c r="F310">
        <v>4</v>
      </c>
      <c r="AG310" s="1" t="str">
        <v>DPLUS161</v>
      </c>
      <c r="AH310" s="1">
        <v>10</v>
      </c>
      <c r="AI310" s="1">
        <v>2024</v>
      </c>
      <c r="AJ310" s="1" t="str">
        <v>Y2</v>
      </c>
      <c r="AK310" s="1" t="str">
        <v>DPLUS-A03</v>
      </c>
      <c r="AL310" s="1">
        <v>4</v>
      </c>
    </row>
    <row r="311" spans="1:38" ht="14.25" customHeight="1" x14ac:dyDescent="0.25">
      <c r="A311" t="s">
        <v>311</v>
      </c>
      <c r="B311">
        <v>10</v>
      </c>
      <c r="C311">
        <v>2023</v>
      </c>
      <c r="D311" t="s">
        <v>822</v>
      </c>
      <c r="E311" t="s">
        <v>223</v>
      </c>
      <c r="F311">
        <v>1</v>
      </c>
      <c r="AG311" s="1" t="str">
        <v>DPLUS161</v>
      </c>
      <c r="AH311" s="1">
        <v>10</v>
      </c>
      <c r="AI311" s="1">
        <v>2023</v>
      </c>
      <c r="AJ311" s="1" t="str">
        <v>Y1</v>
      </c>
      <c r="AK311" s="1" t="str">
        <v>DPLUS-C05</v>
      </c>
      <c r="AL311" s="1">
        <v>1</v>
      </c>
    </row>
    <row r="312" spans="1:38" ht="14.25" customHeight="1" x14ac:dyDescent="0.25">
      <c r="A312" t="s">
        <v>311</v>
      </c>
      <c r="B312">
        <v>10</v>
      </c>
      <c r="C312">
        <v>2024</v>
      </c>
      <c r="D312" t="s">
        <v>823</v>
      </c>
      <c r="E312" t="s">
        <v>223</v>
      </c>
      <c r="F312">
        <v>4</v>
      </c>
      <c r="AG312" s="1" t="str">
        <v>DPLUS161</v>
      </c>
      <c r="AH312" s="1">
        <v>10</v>
      </c>
      <c r="AI312" s="1">
        <v>2024</v>
      </c>
      <c r="AJ312" s="1" t="str">
        <v>Y2</v>
      </c>
      <c r="AK312" s="1" t="str">
        <v>DPLUS-C05</v>
      </c>
      <c r="AL312" s="1">
        <v>4</v>
      </c>
    </row>
    <row r="313" spans="1:38" ht="14.25" customHeight="1" x14ac:dyDescent="0.25">
      <c r="A313" t="s">
        <v>311</v>
      </c>
      <c r="B313">
        <v>10</v>
      </c>
      <c r="C313">
        <v>2023</v>
      </c>
      <c r="D313" t="s">
        <v>822</v>
      </c>
      <c r="E313" t="s">
        <v>245</v>
      </c>
      <c r="F313">
        <v>23</v>
      </c>
      <c r="AG313" s="1" t="str">
        <v>DPLUS161</v>
      </c>
      <c r="AH313" s="1">
        <v>10</v>
      </c>
      <c r="AI313" s="1">
        <v>2023</v>
      </c>
      <c r="AJ313" s="1" t="str">
        <v>Y1</v>
      </c>
      <c r="AK313" s="1" t="str">
        <v>DPLUS-C15</v>
      </c>
      <c r="AL313" s="1">
        <v>23</v>
      </c>
    </row>
    <row r="314" spans="1:38" ht="14.25" customHeight="1" x14ac:dyDescent="0.25">
      <c r="A314" t="s">
        <v>311</v>
      </c>
      <c r="B314">
        <v>10</v>
      </c>
      <c r="C314">
        <v>2024</v>
      </c>
      <c r="D314" t="s">
        <v>823</v>
      </c>
      <c r="E314" t="s">
        <v>245</v>
      </c>
      <c r="F314">
        <v>14</v>
      </c>
      <c r="AG314" s="1" t="str">
        <v>DPLUS161</v>
      </c>
      <c r="AH314" s="1">
        <v>10</v>
      </c>
      <c r="AI314" s="1">
        <v>2024</v>
      </c>
      <c r="AJ314" s="1" t="str">
        <v>Y2</v>
      </c>
      <c r="AK314" s="1" t="str">
        <v>DPLUS-C15</v>
      </c>
      <c r="AL314" s="1">
        <v>14</v>
      </c>
    </row>
    <row r="315" spans="1:38" ht="14.25" customHeight="1" x14ac:dyDescent="0.25">
      <c r="A315" t="s">
        <v>312</v>
      </c>
      <c r="B315">
        <v>10</v>
      </c>
      <c r="C315">
        <v>2023</v>
      </c>
      <c r="D315" t="s">
        <v>822</v>
      </c>
      <c r="E315" t="s">
        <v>164</v>
      </c>
      <c r="F315">
        <v>5</v>
      </c>
      <c r="AG315" s="1" t="str">
        <v>DPLUS162</v>
      </c>
      <c r="AH315" s="1">
        <v>10</v>
      </c>
      <c r="AI315" s="1">
        <v>2023</v>
      </c>
      <c r="AJ315" s="1" t="str">
        <v>Y1</v>
      </c>
      <c r="AK315" s="1" t="str">
        <v>DPLUS-A01</v>
      </c>
      <c r="AL315" s="1">
        <v>5</v>
      </c>
    </row>
    <row r="316" spans="1:38" ht="14.25" customHeight="1" x14ac:dyDescent="0.25">
      <c r="A316" t="s">
        <v>312</v>
      </c>
      <c r="B316">
        <v>10</v>
      </c>
      <c r="C316">
        <v>2024</v>
      </c>
      <c r="D316" t="s">
        <v>823</v>
      </c>
      <c r="E316" t="s">
        <v>164</v>
      </c>
      <c r="F316">
        <v>0</v>
      </c>
      <c r="AG316" s="1" t="str">
        <v>DPLUS162</v>
      </c>
      <c r="AH316" s="1">
        <v>10</v>
      </c>
      <c r="AI316" s="1">
        <v>2024</v>
      </c>
      <c r="AJ316" s="1" t="str">
        <v>Y2</v>
      </c>
      <c r="AK316" s="1" t="str">
        <v>DPLUS-A01</v>
      </c>
      <c r="AL316" s="1">
        <v>0</v>
      </c>
    </row>
    <row r="317" spans="1:38" ht="14.25" customHeight="1" x14ac:dyDescent="0.25">
      <c r="A317" t="s">
        <v>312</v>
      </c>
      <c r="B317">
        <v>10</v>
      </c>
      <c r="C317">
        <v>2023</v>
      </c>
      <c r="D317" t="s">
        <v>822</v>
      </c>
      <c r="E317" t="s">
        <v>169</v>
      </c>
      <c r="F317">
        <v>1</v>
      </c>
      <c r="AG317" s="1" t="str">
        <v>DPLUS162</v>
      </c>
      <c r="AH317" s="1">
        <v>10</v>
      </c>
      <c r="AI317" s="1">
        <v>2023</v>
      </c>
      <c r="AJ317" s="1" t="str">
        <v>Y1</v>
      </c>
      <c r="AK317" s="1" t="str">
        <v>DPLUS-A03</v>
      </c>
      <c r="AL317" s="1">
        <v>1</v>
      </c>
    </row>
    <row r="318" spans="1:38" ht="14.25" customHeight="1" x14ac:dyDescent="0.25">
      <c r="A318" t="s">
        <v>312</v>
      </c>
      <c r="B318">
        <v>10</v>
      </c>
      <c r="C318">
        <v>2024</v>
      </c>
      <c r="D318" t="s">
        <v>823</v>
      </c>
      <c r="E318" t="s">
        <v>169</v>
      </c>
      <c r="F318">
        <v>0</v>
      </c>
      <c r="AG318" s="1" t="str">
        <v>DPLUS162</v>
      </c>
      <c r="AH318" s="1">
        <v>10</v>
      </c>
      <c r="AI318" s="1">
        <v>2024</v>
      </c>
      <c r="AJ318" s="1" t="str">
        <v>Y2</v>
      </c>
      <c r="AK318" s="1" t="str">
        <v>DPLUS-A03</v>
      </c>
      <c r="AL318" s="1">
        <v>0</v>
      </c>
    </row>
    <row r="319" spans="1:38" ht="14.25" customHeight="1" x14ac:dyDescent="0.25">
      <c r="A319" t="s">
        <v>312</v>
      </c>
      <c r="B319">
        <v>10</v>
      </c>
      <c r="C319">
        <v>2023</v>
      </c>
      <c r="D319" t="s">
        <v>822</v>
      </c>
      <c r="E319" t="s">
        <v>171</v>
      </c>
      <c r="F319">
        <v>5</v>
      </c>
      <c r="AG319" s="1" t="str">
        <v>DPLUS162</v>
      </c>
      <c r="AH319" s="1">
        <v>10</v>
      </c>
      <c r="AI319" s="1">
        <v>2023</v>
      </c>
      <c r="AJ319" s="1" t="str">
        <v>Y1</v>
      </c>
      <c r="AK319" s="1" t="str">
        <v>DPLUS-A04</v>
      </c>
      <c r="AL319" s="1">
        <v>5</v>
      </c>
    </row>
    <row r="320" spans="1:38" ht="14.25" customHeight="1" x14ac:dyDescent="0.25">
      <c r="A320" t="s">
        <v>312</v>
      </c>
      <c r="B320">
        <v>10</v>
      </c>
      <c r="C320">
        <v>2024</v>
      </c>
      <c r="D320" t="s">
        <v>823</v>
      </c>
      <c r="E320" t="s">
        <v>171</v>
      </c>
      <c r="F320">
        <v>0</v>
      </c>
      <c r="AG320" s="1" t="str">
        <v>DPLUS162</v>
      </c>
      <c r="AH320" s="1">
        <v>10</v>
      </c>
      <c r="AI320" s="1">
        <v>2024</v>
      </c>
      <c r="AJ320" s="1" t="str">
        <v>Y2</v>
      </c>
      <c r="AK320" s="1" t="str">
        <v>DPLUS-A04</v>
      </c>
      <c r="AL320" s="1">
        <v>0</v>
      </c>
    </row>
    <row r="321" spans="1:38" ht="14.25" customHeight="1" x14ac:dyDescent="0.25">
      <c r="A321" t="s">
        <v>312</v>
      </c>
      <c r="B321">
        <v>10</v>
      </c>
      <c r="C321">
        <v>2023</v>
      </c>
      <c r="D321" t="s">
        <v>822</v>
      </c>
      <c r="E321" t="s">
        <v>179</v>
      </c>
      <c r="F321">
        <v>0</v>
      </c>
      <c r="AG321" s="1" t="str">
        <v>DPLUS162</v>
      </c>
      <c r="AH321" s="1">
        <v>10</v>
      </c>
      <c r="AI321" s="1">
        <v>2023</v>
      </c>
      <c r="AJ321" s="1" t="str">
        <v>Y1</v>
      </c>
      <c r="AK321" s="1" t="str">
        <v>DPLUS-A07</v>
      </c>
      <c r="AL321" s="1">
        <v>0</v>
      </c>
    </row>
    <row r="322" spans="1:38" ht="14.25" customHeight="1" x14ac:dyDescent="0.25">
      <c r="A322" t="s">
        <v>312</v>
      </c>
      <c r="B322">
        <v>10</v>
      </c>
      <c r="C322">
        <v>2024</v>
      </c>
      <c r="D322" t="s">
        <v>823</v>
      </c>
      <c r="E322" t="s">
        <v>179</v>
      </c>
      <c r="F322">
        <v>0</v>
      </c>
      <c r="AG322" s="1" t="str">
        <v>DPLUS162</v>
      </c>
      <c r="AH322" s="1">
        <v>10</v>
      </c>
      <c r="AI322" s="1">
        <v>2024</v>
      </c>
      <c r="AJ322" s="1" t="str">
        <v>Y2</v>
      </c>
      <c r="AK322" s="1" t="str">
        <v>DPLUS-A07</v>
      </c>
      <c r="AL322" s="1">
        <v>0</v>
      </c>
    </row>
    <row r="323" spans="1:38" ht="14.25" customHeight="1" x14ac:dyDescent="0.25">
      <c r="A323" t="s">
        <v>312</v>
      </c>
      <c r="B323">
        <v>10</v>
      </c>
      <c r="C323">
        <v>2023</v>
      </c>
      <c r="D323" t="s">
        <v>822</v>
      </c>
      <c r="E323" t="s">
        <v>188</v>
      </c>
      <c r="F323">
        <v>0</v>
      </c>
      <c r="AG323" s="1" t="str">
        <v>DPLUS162</v>
      </c>
      <c r="AH323" s="1">
        <v>10</v>
      </c>
      <c r="AI323" s="1">
        <v>2023</v>
      </c>
      <c r="AJ323" s="1" t="str">
        <v>Y1</v>
      </c>
      <c r="AK323" s="1" t="str">
        <v>DPLUS-B01</v>
      </c>
      <c r="AL323" s="1">
        <v>0</v>
      </c>
    </row>
    <row r="324" spans="1:38" ht="14.25" customHeight="1" x14ac:dyDescent="0.25">
      <c r="A324" t="s">
        <v>312</v>
      </c>
      <c r="B324">
        <v>10</v>
      </c>
      <c r="C324">
        <v>2024</v>
      </c>
      <c r="D324" t="s">
        <v>823</v>
      </c>
      <c r="E324" t="s">
        <v>188</v>
      </c>
      <c r="F324">
        <v>0</v>
      </c>
      <c r="AG324" s="1" t="str">
        <v>DPLUS162</v>
      </c>
      <c r="AH324" s="1">
        <v>10</v>
      </c>
      <c r="AI324" s="1">
        <v>2024</v>
      </c>
      <c r="AJ324" s="1" t="str">
        <v>Y2</v>
      </c>
      <c r="AK324" s="1" t="str">
        <v>DPLUS-B01</v>
      </c>
      <c r="AL324" s="1">
        <v>0</v>
      </c>
    </row>
    <row r="325" spans="1:38" ht="14.25" customHeight="1" x14ac:dyDescent="0.25">
      <c r="A325" t="s">
        <v>312</v>
      </c>
      <c r="B325">
        <v>10</v>
      </c>
      <c r="C325">
        <v>2023</v>
      </c>
      <c r="D325" t="s">
        <v>822</v>
      </c>
      <c r="E325" t="s">
        <v>221</v>
      </c>
      <c r="F325">
        <v>1</v>
      </c>
      <c r="AG325" s="1" t="str">
        <v>DPLUS162</v>
      </c>
      <c r="AH325" s="1">
        <v>10</v>
      </c>
      <c r="AI325" s="1">
        <v>2023</v>
      </c>
      <c r="AJ325" s="1" t="str">
        <v>Y1</v>
      </c>
      <c r="AK325" s="1" t="str">
        <v>DPLUS-C04</v>
      </c>
      <c r="AL325" s="1">
        <v>1</v>
      </c>
    </row>
    <row r="326" spans="1:38" ht="14.25" customHeight="1" x14ac:dyDescent="0.25">
      <c r="A326" t="s">
        <v>312</v>
      </c>
      <c r="B326">
        <v>10</v>
      </c>
      <c r="C326">
        <v>2024</v>
      </c>
      <c r="D326" t="s">
        <v>823</v>
      </c>
      <c r="E326" t="s">
        <v>221</v>
      </c>
      <c r="F326">
        <v>0</v>
      </c>
      <c r="AG326" s="1" t="str">
        <v>DPLUS162</v>
      </c>
      <c r="AH326" s="1">
        <v>10</v>
      </c>
      <c r="AI326" s="1">
        <v>2024</v>
      </c>
      <c r="AJ326" s="1" t="str">
        <v>Y2</v>
      </c>
      <c r="AK326" s="1" t="str">
        <v>DPLUS-C04</v>
      </c>
      <c r="AL326" s="1">
        <v>0</v>
      </c>
    </row>
    <row r="327" spans="1:38" ht="14.25" customHeight="1" x14ac:dyDescent="0.25">
      <c r="A327" t="s">
        <v>312</v>
      </c>
      <c r="B327">
        <v>10</v>
      </c>
      <c r="C327">
        <v>2023</v>
      </c>
      <c r="D327" t="s">
        <v>822</v>
      </c>
      <c r="E327" t="s">
        <v>238</v>
      </c>
      <c r="F327">
        <v>96000</v>
      </c>
      <c r="AG327" s="1" t="str">
        <v>DPLUS162</v>
      </c>
      <c r="AH327" s="1">
        <v>10</v>
      </c>
      <c r="AI327" s="1">
        <v>2023</v>
      </c>
      <c r="AJ327" s="1" t="str">
        <v>Y1</v>
      </c>
      <c r="AK327" s="1" t="str">
        <v>DPLUS-C12</v>
      </c>
      <c r="AL327" s="1">
        <v>96000</v>
      </c>
    </row>
    <row r="328" spans="1:38" ht="14.25" customHeight="1" x14ac:dyDescent="0.25">
      <c r="A328" t="s">
        <v>312</v>
      </c>
      <c r="B328">
        <v>10</v>
      </c>
      <c r="C328">
        <v>2024</v>
      </c>
      <c r="D328" t="s">
        <v>823</v>
      </c>
      <c r="E328" t="s">
        <v>238</v>
      </c>
      <c r="F328">
        <v>180000</v>
      </c>
      <c r="AG328" s="1" t="str">
        <v>DPLUS162</v>
      </c>
      <c r="AH328" s="1">
        <v>10</v>
      </c>
      <c r="AI328" s="1">
        <v>2024</v>
      </c>
      <c r="AJ328" s="1" t="str">
        <v>Y2</v>
      </c>
      <c r="AK328" s="1" t="str">
        <v>DPLUS-C12</v>
      </c>
      <c r="AL328" s="1">
        <v>180000</v>
      </c>
    </row>
    <row r="329" spans="1:38" ht="14.25" customHeight="1" x14ac:dyDescent="0.25">
      <c r="A329" t="s">
        <v>312</v>
      </c>
      <c r="B329">
        <v>10</v>
      </c>
      <c r="C329">
        <v>2023</v>
      </c>
      <c r="D329" t="s">
        <v>822</v>
      </c>
      <c r="E329" t="s">
        <v>245</v>
      </c>
      <c r="F329">
        <v>1</v>
      </c>
      <c r="AG329" s="1" t="str">
        <v>DPLUS162</v>
      </c>
      <c r="AH329" s="1">
        <v>10</v>
      </c>
      <c r="AI329" s="1">
        <v>2023</v>
      </c>
      <c r="AJ329" s="1" t="str">
        <v>Y1</v>
      </c>
      <c r="AK329" s="1" t="str">
        <v>DPLUS-C15</v>
      </c>
      <c r="AL329" s="1">
        <v>1</v>
      </c>
    </row>
    <row r="330" spans="1:38" ht="14.25" customHeight="1" x14ac:dyDescent="0.25">
      <c r="A330" t="s">
        <v>312</v>
      </c>
      <c r="B330">
        <v>10</v>
      </c>
      <c r="C330">
        <v>2024</v>
      </c>
      <c r="D330" t="s">
        <v>823</v>
      </c>
      <c r="E330" t="s">
        <v>245</v>
      </c>
      <c r="F330">
        <v>1</v>
      </c>
      <c r="AG330" s="1" t="str">
        <v>DPLUS162</v>
      </c>
      <c r="AH330" s="1">
        <v>10</v>
      </c>
      <c r="AI330" s="1">
        <v>2024</v>
      </c>
      <c r="AJ330" s="1" t="str">
        <v>Y2</v>
      </c>
      <c r="AK330" s="1" t="str">
        <v>DPLUS-C15</v>
      </c>
      <c r="AL330" s="1">
        <v>1</v>
      </c>
    </row>
    <row r="331" spans="1:38" ht="14.25" customHeight="1" x14ac:dyDescent="0.25">
      <c r="A331" t="s">
        <v>313</v>
      </c>
      <c r="B331">
        <v>10</v>
      </c>
      <c r="C331">
        <v>2023</v>
      </c>
      <c r="D331" t="s">
        <v>822</v>
      </c>
      <c r="E331" t="s">
        <v>171</v>
      </c>
      <c r="F331">
        <v>0</v>
      </c>
      <c r="AG331" s="1" t="str">
        <v>DPLUS163</v>
      </c>
      <c r="AH331" s="1">
        <v>10</v>
      </c>
      <c r="AI331" s="1">
        <v>2023</v>
      </c>
      <c r="AJ331" s="1" t="str">
        <v>Y1</v>
      </c>
      <c r="AK331" s="1" t="str">
        <v>DPLUS-A04</v>
      </c>
      <c r="AL331" s="1">
        <v>0</v>
      </c>
    </row>
    <row r="332" spans="1:38" ht="14.25" customHeight="1" x14ac:dyDescent="0.25">
      <c r="A332" t="s">
        <v>313</v>
      </c>
      <c r="B332">
        <v>10</v>
      </c>
      <c r="C332">
        <v>2024</v>
      </c>
      <c r="D332" t="s">
        <v>823</v>
      </c>
      <c r="E332" t="s">
        <v>171</v>
      </c>
      <c r="F332">
        <v>0</v>
      </c>
      <c r="AG332" s="1" t="str">
        <v>DPLUS163</v>
      </c>
      <c r="AH332" s="1">
        <v>10</v>
      </c>
      <c r="AI332" s="1">
        <v>2024</v>
      </c>
      <c r="AJ332" s="1" t="str">
        <v>Y2</v>
      </c>
      <c r="AK332" s="1" t="str">
        <v>DPLUS-A04</v>
      </c>
      <c r="AL332" s="1">
        <v>0</v>
      </c>
    </row>
    <row r="333" spans="1:38" ht="14.25" customHeight="1" x14ac:dyDescent="0.25">
      <c r="A333" t="s">
        <v>313</v>
      </c>
      <c r="B333">
        <v>10</v>
      </c>
      <c r="C333">
        <v>2023</v>
      </c>
      <c r="D333" t="s">
        <v>822</v>
      </c>
      <c r="E333" t="s">
        <v>219</v>
      </c>
      <c r="F333">
        <v>0</v>
      </c>
      <c r="AG333" s="1" t="str">
        <v>DPLUS163</v>
      </c>
      <c r="AH333" s="1">
        <v>10</v>
      </c>
      <c r="AI333" s="1">
        <v>2023</v>
      </c>
      <c r="AJ333" s="1" t="str">
        <v>Y1</v>
      </c>
      <c r="AK333" s="1" t="str">
        <v>DPLUS-C03</v>
      </c>
      <c r="AL333" s="1">
        <v>0</v>
      </c>
    </row>
    <row r="334" spans="1:38" ht="14.25" customHeight="1" x14ac:dyDescent="0.25">
      <c r="A334" t="s">
        <v>313</v>
      </c>
      <c r="B334">
        <v>10</v>
      </c>
      <c r="C334">
        <v>2024</v>
      </c>
      <c r="D334" t="s">
        <v>823</v>
      </c>
      <c r="E334" t="s">
        <v>219</v>
      </c>
      <c r="F334">
        <v>0</v>
      </c>
      <c r="AG334" s="1" t="str">
        <v>DPLUS163</v>
      </c>
      <c r="AH334" s="1">
        <v>10</v>
      </c>
      <c r="AI334" s="1">
        <v>2024</v>
      </c>
      <c r="AJ334" s="1" t="str">
        <v>Y2</v>
      </c>
      <c r="AK334" s="1" t="str">
        <v>DPLUS-C03</v>
      </c>
      <c r="AL334" s="1">
        <v>0</v>
      </c>
    </row>
    <row r="335" spans="1:38" ht="14.25" customHeight="1" x14ac:dyDescent="0.25">
      <c r="A335" t="s">
        <v>313</v>
      </c>
      <c r="B335">
        <v>10</v>
      </c>
      <c r="C335">
        <v>2023</v>
      </c>
      <c r="D335" t="s">
        <v>822</v>
      </c>
      <c r="E335" t="s">
        <v>238</v>
      </c>
      <c r="F335">
        <v>1000</v>
      </c>
      <c r="AG335" s="1" t="str">
        <v>DPLUS163</v>
      </c>
      <c r="AH335" s="1">
        <v>10</v>
      </c>
      <c r="AI335" s="1">
        <v>2023</v>
      </c>
      <c r="AJ335" s="1" t="str">
        <v>Y1</v>
      </c>
      <c r="AK335" s="1" t="str">
        <v>DPLUS-C12</v>
      </c>
      <c r="AL335" s="1">
        <v>1000</v>
      </c>
    </row>
    <row r="336" spans="1:38" ht="14.25" customHeight="1" x14ac:dyDescent="0.25">
      <c r="A336" t="s">
        <v>313</v>
      </c>
      <c r="B336">
        <v>10</v>
      </c>
      <c r="C336">
        <v>2024</v>
      </c>
      <c r="D336" t="s">
        <v>823</v>
      </c>
      <c r="E336" t="s">
        <v>238</v>
      </c>
      <c r="F336">
        <v>863</v>
      </c>
      <c r="AG336" s="1" t="str">
        <v>DPLUS163</v>
      </c>
      <c r="AH336" s="1">
        <v>10</v>
      </c>
      <c r="AI336" s="1">
        <v>2024</v>
      </c>
      <c r="AJ336" s="1" t="str">
        <v>Y2</v>
      </c>
      <c r="AK336" s="1" t="str">
        <v>DPLUS-C12</v>
      </c>
      <c r="AL336" s="1">
        <v>863</v>
      </c>
    </row>
    <row r="337" spans="1:38" ht="14.25" customHeight="1" x14ac:dyDescent="0.25">
      <c r="A337" t="s">
        <v>313</v>
      </c>
      <c r="B337">
        <v>10</v>
      </c>
      <c r="C337">
        <v>2023</v>
      </c>
      <c r="D337" t="s">
        <v>822</v>
      </c>
      <c r="E337" t="s">
        <v>261</v>
      </c>
      <c r="F337">
        <v>0</v>
      </c>
      <c r="AG337" s="1" t="str">
        <v>DPLUS163</v>
      </c>
      <c r="AH337" s="1">
        <v>10</v>
      </c>
      <c r="AI337" s="1">
        <v>2023</v>
      </c>
      <c r="AJ337" s="1" t="str">
        <v>Y1</v>
      </c>
      <c r="AK337" s="1" t="str">
        <v>DPLUS-D03</v>
      </c>
      <c r="AL337" s="1">
        <v>0</v>
      </c>
    </row>
    <row r="338" spans="1:38" ht="14.25" customHeight="1" x14ac:dyDescent="0.25">
      <c r="A338" t="s">
        <v>313</v>
      </c>
      <c r="B338">
        <v>10</v>
      </c>
      <c r="C338">
        <v>2024</v>
      </c>
      <c r="D338" t="s">
        <v>823</v>
      </c>
      <c r="E338" t="s">
        <v>261</v>
      </c>
      <c r="F338">
        <v>1</v>
      </c>
      <c r="AG338" s="1" t="str">
        <v>DPLUS163</v>
      </c>
      <c r="AH338" s="1">
        <v>10</v>
      </c>
      <c r="AI338" s="1">
        <v>2024</v>
      </c>
      <c r="AJ338" s="1" t="str">
        <v>Y2</v>
      </c>
      <c r="AK338" s="1" t="str">
        <v>DPLUS-D03</v>
      </c>
      <c r="AL338" s="1">
        <v>1</v>
      </c>
    </row>
    <row r="339" spans="1:38" ht="14.25" customHeight="1" x14ac:dyDescent="0.25">
      <c r="A339" t="s">
        <v>313</v>
      </c>
      <c r="B339">
        <v>10</v>
      </c>
      <c r="C339">
        <v>2023</v>
      </c>
      <c r="D339" t="s">
        <v>822</v>
      </c>
      <c r="E339" t="s">
        <v>294</v>
      </c>
      <c r="F339">
        <v>0</v>
      </c>
      <c r="AG339" s="1" t="str">
        <v>DPLUS163</v>
      </c>
      <c r="AH339" s="1">
        <v>10</v>
      </c>
      <c r="AI339" s="1">
        <v>2023</v>
      </c>
      <c r="AJ339" s="1" t="str">
        <v>Y1</v>
      </c>
      <c r="AK339" s="1" t="str">
        <v>DPLUS-E03</v>
      </c>
      <c r="AL339" s="1">
        <v>0</v>
      </c>
    </row>
    <row r="340" spans="1:38" ht="14.25" customHeight="1" x14ac:dyDescent="0.25">
      <c r="A340" t="s">
        <v>313</v>
      </c>
      <c r="B340">
        <v>10</v>
      </c>
      <c r="C340">
        <v>2024</v>
      </c>
      <c r="D340" t="s">
        <v>823</v>
      </c>
      <c r="E340" t="s">
        <v>294</v>
      </c>
      <c r="F340">
        <v>0</v>
      </c>
      <c r="AG340" s="1" t="str">
        <v>DPLUS163</v>
      </c>
      <c r="AH340" s="1">
        <v>10</v>
      </c>
      <c r="AI340" s="1">
        <v>2024</v>
      </c>
      <c r="AJ340" s="1" t="str">
        <v>Y2</v>
      </c>
      <c r="AK340" s="1" t="str">
        <v>DPLUS-E03</v>
      </c>
      <c r="AL340" s="1">
        <v>0</v>
      </c>
    </row>
    <row r="341" spans="1:38" ht="14.25" customHeight="1" x14ac:dyDescent="0.25">
      <c r="A341" t="s">
        <v>110</v>
      </c>
      <c r="B341">
        <v>10</v>
      </c>
      <c r="C341">
        <v>2023</v>
      </c>
      <c r="D341" t="s">
        <v>822</v>
      </c>
      <c r="E341" t="s">
        <v>171</v>
      </c>
      <c r="F341">
        <v>97</v>
      </c>
      <c r="AG341" s="1" t="str">
        <v>DPLUS164</v>
      </c>
      <c r="AH341" s="1">
        <v>10</v>
      </c>
      <c r="AI341" s="1">
        <v>2023</v>
      </c>
      <c r="AJ341" s="1" t="str">
        <v>Y1</v>
      </c>
      <c r="AK341" s="1" t="str">
        <v>DPLUS-A04</v>
      </c>
      <c r="AL341" s="1">
        <v>97</v>
      </c>
    </row>
    <row r="342" spans="1:38" ht="14.25" customHeight="1" x14ac:dyDescent="0.25">
      <c r="A342" t="s">
        <v>110</v>
      </c>
      <c r="B342">
        <v>10</v>
      </c>
      <c r="C342">
        <v>2024</v>
      </c>
      <c r="D342" t="s">
        <v>823</v>
      </c>
      <c r="E342" t="s">
        <v>171</v>
      </c>
      <c r="F342">
        <v>0</v>
      </c>
      <c r="AG342" s="1" t="str">
        <v>DPLUS164</v>
      </c>
      <c r="AH342" s="1">
        <v>10</v>
      </c>
      <c r="AI342" s="1">
        <v>2024</v>
      </c>
      <c r="AJ342" s="1" t="str">
        <v>Y2</v>
      </c>
      <c r="AK342" s="1" t="str">
        <v>DPLUS-A04</v>
      </c>
      <c r="AL342" s="1">
        <v>0</v>
      </c>
    </row>
    <row r="343" spans="1:38" ht="14.25" customHeight="1" x14ac:dyDescent="0.25">
      <c r="A343" t="s">
        <v>314</v>
      </c>
      <c r="B343">
        <v>10</v>
      </c>
      <c r="C343">
        <v>2023</v>
      </c>
      <c r="D343" t="s">
        <v>822</v>
      </c>
      <c r="E343" t="s">
        <v>164</v>
      </c>
      <c r="F343">
        <v>5</v>
      </c>
      <c r="AG343" s="1" t="str">
        <v>DPLUS165</v>
      </c>
      <c r="AH343" s="1">
        <v>10</v>
      </c>
      <c r="AI343" s="1">
        <v>2023</v>
      </c>
      <c r="AJ343" s="1" t="str">
        <v>Y1</v>
      </c>
      <c r="AK343" s="1" t="str">
        <v>DPLUS-A01</v>
      </c>
      <c r="AL343" s="1">
        <v>5</v>
      </c>
    </row>
    <row r="344" spans="1:38" ht="14.25" customHeight="1" x14ac:dyDescent="0.25">
      <c r="A344" t="s">
        <v>314</v>
      </c>
      <c r="B344">
        <v>10</v>
      </c>
      <c r="C344">
        <v>2024</v>
      </c>
      <c r="D344" t="s">
        <v>823</v>
      </c>
      <c r="E344" t="s">
        <v>164</v>
      </c>
      <c r="F344">
        <v>13</v>
      </c>
      <c r="AG344" s="1" t="str">
        <v>DPLUS165</v>
      </c>
      <c r="AH344" s="1">
        <v>10</v>
      </c>
      <c r="AI344" s="1">
        <v>2024</v>
      </c>
      <c r="AJ344" s="1" t="str">
        <v>Y2</v>
      </c>
      <c r="AK344" s="1" t="str">
        <v>DPLUS-A01</v>
      </c>
      <c r="AL344" s="1">
        <v>13</v>
      </c>
    </row>
    <row r="345" spans="1:38" ht="14.25" customHeight="1" x14ac:dyDescent="0.25">
      <c r="A345" t="s">
        <v>314</v>
      </c>
      <c r="B345">
        <v>10</v>
      </c>
      <c r="C345">
        <v>2023</v>
      </c>
      <c r="D345" t="s">
        <v>822</v>
      </c>
      <c r="E345" t="s">
        <v>169</v>
      </c>
      <c r="F345">
        <v>1</v>
      </c>
      <c r="AG345" s="1" t="str">
        <v>DPLUS165</v>
      </c>
      <c r="AH345" s="1">
        <v>10</v>
      </c>
      <c r="AI345" s="1">
        <v>2023</v>
      </c>
      <c r="AJ345" s="1" t="str">
        <v>Y1</v>
      </c>
      <c r="AK345" s="1" t="str">
        <v>DPLUS-A03</v>
      </c>
      <c r="AL345" s="1">
        <v>1</v>
      </c>
    </row>
    <row r="346" spans="1:38" ht="14.25" customHeight="1" x14ac:dyDescent="0.25">
      <c r="A346" t="s">
        <v>314</v>
      </c>
      <c r="B346">
        <v>10</v>
      </c>
      <c r="C346">
        <v>2024</v>
      </c>
      <c r="D346" t="s">
        <v>823</v>
      </c>
      <c r="E346" t="s">
        <v>169</v>
      </c>
      <c r="F346">
        <v>0</v>
      </c>
      <c r="AG346" s="1" t="str">
        <v>DPLUS165</v>
      </c>
      <c r="AH346" s="1">
        <v>10</v>
      </c>
      <c r="AI346" s="1">
        <v>2024</v>
      </c>
      <c r="AJ346" s="1" t="str">
        <v>Y2</v>
      </c>
      <c r="AK346" s="1" t="str">
        <v>DPLUS-A03</v>
      </c>
      <c r="AL346" s="1">
        <v>0</v>
      </c>
    </row>
    <row r="347" spans="1:38" ht="14.25" customHeight="1" x14ac:dyDescent="0.25">
      <c r="A347" t="s">
        <v>314</v>
      </c>
      <c r="B347">
        <v>10</v>
      </c>
      <c r="C347">
        <v>2023</v>
      </c>
      <c r="D347" t="s">
        <v>822</v>
      </c>
      <c r="E347" t="s">
        <v>188</v>
      </c>
      <c r="F347">
        <v>0</v>
      </c>
      <c r="AG347" s="1" t="str">
        <v>DPLUS165</v>
      </c>
      <c r="AH347" s="1">
        <v>10</v>
      </c>
      <c r="AI347" s="1">
        <v>2023</v>
      </c>
      <c r="AJ347" s="1" t="str">
        <v>Y1</v>
      </c>
      <c r="AK347" s="1" t="str">
        <v>DPLUS-B01</v>
      </c>
      <c r="AL347" s="1">
        <v>0</v>
      </c>
    </row>
    <row r="348" spans="1:38" ht="14.25" customHeight="1" x14ac:dyDescent="0.25">
      <c r="A348" t="s">
        <v>314</v>
      </c>
      <c r="B348">
        <v>10</v>
      </c>
      <c r="C348">
        <v>2024</v>
      </c>
      <c r="D348" t="s">
        <v>823</v>
      </c>
      <c r="E348" t="s">
        <v>188</v>
      </c>
      <c r="F348">
        <v>0</v>
      </c>
      <c r="AG348" s="1" t="str">
        <v>DPLUS165</v>
      </c>
      <c r="AH348" s="1">
        <v>10</v>
      </c>
      <c r="AI348" s="1">
        <v>2024</v>
      </c>
      <c r="AJ348" s="1" t="str">
        <v>Y2</v>
      </c>
      <c r="AK348" s="1" t="str">
        <v>DPLUS-B01</v>
      </c>
      <c r="AL348" s="1">
        <v>0</v>
      </c>
    </row>
    <row r="349" spans="1:38" ht="14.25" customHeight="1" x14ac:dyDescent="0.25">
      <c r="A349" t="s">
        <v>314</v>
      </c>
      <c r="B349">
        <v>10</v>
      </c>
      <c r="C349">
        <v>2023</v>
      </c>
      <c r="D349" t="s">
        <v>822</v>
      </c>
      <c r="E349" t="s">
        <v>215</v>
      </c>
      <c r="F349">
        <v>10</v>
      </c>
      <c r="AG349" s="1" t="str">
        <v>DPLUS165</v>
      </c>
      <c r="AH349" s="1">
        <v>10</v>
      </c>
      <c r="AI349" s="1">
        <v>2023</v>
      </c>
      <c r="AJ349" s="1" t="str">
        <v>Y1</v>
      </c>
      <c r="AK349" s="1" t="str">
        <v>DPLUS-C01</v>
      </c>
      <c r="AL349" s="1">
        <v>10</v>
      </c>
    </row>
    <row r="350" spans="1:38" ht="14.25" customHeight="1" x14ac:dyDescent="0.25">
      <c r="A350" t="s">
        <v>314</v>
      </c>
      <c r="B350">
        <v>10</v>
      </c>
      <c r="C350">
        <v>2024</v>
      </c>
      <c r="D350" t="s">
        <v>823</v>
      </c>
      <c r="E350" t="s">
        <v>215</v>
      </c>
      <c r="F350">
        <v>4</v>
      </c>
      <c r="AG350" s="1" t="str">
        <v>DPLUS165</v>
      </c>
      <c r="AH350" s="1">
        <v>10</v>
      </c>
      <c r="AI350" s="1">
        <v>2024</v>
      </c>
      <c r="AJ350" s="1" t="str">
        <v>Y2</v>
      </c>
      <c r="AK350" s="1" t="str">
        <v>DPLUS-C01</v>
      </c>
      <c r="AL350" s="1">
        <v>4</v>
      </c>
    </row>
    <row r="351" spans="1:38" ht="14.25" customHeight="1" x14ac:dyDescent="0.25">
      <c r="A351" t="s">
        <v>315</v>
      </c>
      <c r="B351">
        <v>10</v>
      </c>
      <c r="C351">
        <v>2023</v>
      </c>
      <c r="D351" t="s">
        <v>822</v>
      </c>
      <c r="E351" s="2" t="s">
        <v>230</v>
      </c>
      <c r="F351">
        <v>0</v>
      </c>
      <c r="AG351" s="1" t="str">
        <v>DPLUS166</v>
      </c>
      <c r="AH351" s="1">
        <v>10</v>
      </c>
      <c r="AI351" s="1">
        <v>2023</v>
      </c>
      <c r="AJ351" s="1" t="str">
        <v>Y1</v>
      </c>
      <c r="AK351" s="1" t="str">
        <v>DPLUS-C08</v>
      </c>
      <c r="AL351" s="1">
        <v>0</v>
      </c>
    </row>
    <row r="352" spans="1:38" ht="14.25" customHeight="1" x14ac:dyDescent="0.25">
      <c r="A352" t="s">
        <v>315</v>
      </c>
      <c r="B352">
        <v>10</v>
      </c>
      <c r="C352">
        <v>2024</v>
      </c>
      <c r="D352" t="s">
        <v>823</v>
      </c>
      <c r="E352" s="2" t="s">
        <v>230</v>
      </c>
      <c r="F352">
        <v>0</v>
      </c>
      <c r="AG352" s="1" t="str">
        <v>DPLUS166</v>
      </c>
      <c r="AH352" s="1">
        <v>10</v>
      </c>
      <c r="AI352" s="1">
        <v>2024</v>
      </c>
      <c r="AJ352" s="1" t="str">
        <v>Y2</v>
      </c>
      <c r="AK352" s="1" t="str">
        <v>DPLUS-C08</v>
      </c>
      <c r="AL352" s="1">
        <v>0</v>
      </c>
    </row>
    <row r="353" spans="1:38" ht="14.25" customHeight="1" x14ac:dyDescent="0.25">
      <c r="A353" t="s">
        <v>315</v>
      </c>
      <c r="B353">
        <v>10</v>
      </c>
      <c r="C353">
        <v>2023</v>
      </c>
      <c r="D353" t="s">
        <v>822</v>
      </c>
      <c r="E353" s="2" t="s">
        <v>232</v>
      </c>
      <c r="F353">
        <v>0</v>
      </c>
      <c r="AG353" s="1" t="str">
        <v>DPLUS166</v>
      </c>
      <c r="AH353" s="1">
        <v>10</v>
      </c>
      <c r="AI353" s="1">
        <v>2023</v>
      </c>
      <c r="AJ353" s="1" t="str">
        <v>Y1</v>
      </c>
      <c r="AK353" s="1" t="str">
        <v>DPLUS-C09</v>
      </c>
      <c r="AL353" s="1">
        <v>0</v>
      </c>
    </row>
    <row r="354" spans="1:38" ht="14.25" customHeight="1" x14ac:dyDescent="0.25">
      <c r="A354" t="s">
        <v>315</v>
      </c>
      <c r="B354">
        <v>10</v>
      </c>
      <c r="C354">
        <v>2024</v>
      </c>
      <c r="D354" t="s">
        <v>823</v>
      </c>
      <c r="E354" s="2" t="s">
        <v>232</v>
      </c>
      <c r="F354">
        <v>0</v>
      </c>
      <c r="AG354" s="1" t="str">
        <v>DPLUS166</v>
      </c>
      <c r="AH354" s="1">
        <v>10</v>
      </c>
      <c r="AI354" s="1">
        <v>2024</v>
      </c>
      <c r="AJ354" s="1" t="str">
        <v>Y2</v>
      </c>
      <c r="AK354" s="1" t="str">
        <v>DPLUS-C09</v>
      </c>
      <c r="AL354" s="1">
        <v>0</v>
      </c>
    </row>
    <row r="355" spans="1:38" ht="14.25" customHeight="1" x14ac:dyDescent="0.25">
      <c r="A355" t="s">
        <v>315</v>
      </c>
      <c r="B355">
        <v>10</v>
      </c>
      <c r="C355">
        <v>2023</v>
      </c>
      <c r="D355" t="s">
        <v>822</v>
      </c>
      <c r="E355" s="2" t="s">
        <v>247</v>
      </c>
      <c r="F355">
        <v>0</v>
      </c>
      <c r="AG355" s="1" t="str">
        <v>DPLUS166</v>
      </c>
      <c r="AH355" s="1">
        <v>10</v>
      </c>
      <c r="AI355" s="1">
        <v>2023</v>
      </c>
      <c r="AJ355" s="1" t="str">
        <v>Y1</v>
      </c>
      <c r="AK355" s="1" t="str">
        <v>DPLUS-C16</v>
      </c>
      <c r="AL355" s="1">
        <v>0</v>
      </c>
    </row>
    <row r="356" spans="1:38" ht="14.25" customHeight="1" x14ac:dyDescent="0.25">
      <c r="A356" t="s">
        <v>315</v>
      </c>
      <c r="B356">
        <v>10</v>
      </c>
      <c r="C356">
        <v>2024</v>
      </c>
      <c r="D356" t="s">
        <v>823</v>
      </c>
      <c r="E356" s="2" t="s">
        <v>247</v>
      </c>
      <c r="F356">
        <v>0</v>
      </c>
      <c r="AG356" s="1" t="str">
        <v>DPLUS166</v>
      </c>
      <c r="AH356" s="1">
        <v>10</v>
      </c>
      <c r="AI356" s="1">
        <v>2024</v>
      </c>
      <c r="AJ356" s="1" t="str">
        <v>Y2</v>
      </c>
      <c r="AK356" s="1" t="str">
        <v>DPLUS-C16</v>
      </c>
      <c r="AL356" s="1">
        <v>0</v>
      </c>
    </row>
    <row r="357" spans="1:38" ht="14.25" customHeight="1" x14ac:dyDescent="0.25">
      <c r="A357" t="s">
        <v>315</v>
      </c>
      <c r="B357">
        <v>10</v>
      </c>
      <c r="C357">
        <v>2023</v>
      </c>
      <c r="D357" t="s">
        <v>822</v>
      </c>
      <c r="E357" s="2" t="s">
        <v>250</v>
      </c>
      <c r="F357">
        <v>0</v>
      </c>
      <c r="AG357" s="1" t="str">
        <v>DPLUS166</v>
      </c>
      <c r="AH357" s="1">
        <v>10</v>
      </c>
      <c r="AI357" s="1">
        <v>2023</v>
      </c>
      <c r="AJ357" s="1" t="str">
        <v>Y1</v>
      </c>
      <c r="AK357" s="1" t="str">
        <v>DPLUS-C17</v>
      </c>
      <c r="AL357" s="1">
        <v>0</v>
      </c>
    </row>
    <row r="358" spans="1:38" ht="14.25" customHeight="1" x14ac:dyDescent="0.25">
      <c r="A358" t="s">
        <v>315</v>
      </c>
      <c r="B358">
        <v>10</v>
      </c>
      <c r="C358">
        <v>2024</v>
      </c>
      <c r="D358" t="s">
        <v>823</v>
      </c>
      <c r="E358" s="2" t="s">
        <v>250</v>
      </c>
      <c r="F358">
        <v>0</v>
      </c>
      <c r="AG358" s="1" t="str">
        <v>DPLUS166</v>
      </c>
      <c r="AH358" s="1">
        <v>10</v>
      </c>
      <c r="AI358" s="1">
        <v>2024</v>
      </c>
      <c r="AJ358" s="1" t="str">
        <v>Y2</v>
      </c>
      <c r="AK358" s="1" t="str">
        <v>DPLUS-C17</v>
      </c>
      <c r="AL358" s="1">
        <v>0</v>
      </c>
    </row>
    <row r="359" spans="1:38" ht="14.25" customHeight="1" x14ac:dyDescent="0.25">
      <c r="A359" t="s">
        <v>112</v>
      </c>
      <c r="B359">
        <v>10</v>
      </c>
      <c r="C359">
        <v>2023</v>
      </c>
      <c r="D359" t="s">
        <v>822</v>
      </c>
      <c r="E359" t="s">
        <v>164</v>
      </c>
      <c r="F359">
        <v>97</v>
      </c>
      <c r="AG359" s="1" t="str">
        <v>DPLUS167</v>
      </c>
      <c r="AH359" s="1">
        <v>10</v>
      </c>
      <c r="AI359" s="1">
        <v>2023</v>
      </c>
      <c r="AJ359" s="1" t="str">
        <v>Y1</v>
      </c>
      <c r="AK359" s="1" t="str">
        <v>DPLUS-A01</v>
      </c>
      <c r="AL359" s="1">
        <v>97</v>
      </c>
    </row>
    <row r="360" spans="1:38" ht="14.25" customHeight="1" x14ac:dyDescent="0.25">
      <c r="A360" t="s">
        <v>112</v>
      </c>
      <c r="B360">
        <v>10</v>
      </c>
      <c r="C360">
        <v>2024</v>
      </c>
      <c r="D360" t="s">
        <v>823</v>
      </c>
      <c r="E360" t="s">
        <v>164</v>
      </c>
      <c r="F360">
        <v>0</v>
      </c>
      <c r="AG360" s="1" t="str">
        <v>DPLUS167</v>
      </c>
      <c r="AH360" s="1">
        <v>10</v>
      </c>
      <c r="AI360" s="1">
        <v>2024</v>
      </c>
      <c r="AJ360" s="1" t="str">
        <v>Y2</v>
      </c>
      <c r="AK360" s="1" t="str">
        <v>DPLUS-A01</v>
      </c>
      <c r="AL360" s="1">
        <v>0</v>
      </c>
    </row>
    <row r="361" spans="1:38" ht="14.25" customHeight="1" x14ac:dyDescent="0.25">
      <c r="A361" t="s">
        <v>112</v>
      </c>
      <c r="B361">
        <v>10</v>
      </c>
      <c r="C361">
        <v>2023</v>
      </c>
      <c r="D361" t="s">
        <v>822</v>
      </c>
      <c r="E361" t="s">
        <v>179</v>
      </c>
      <c r="F361">
        <v>3</v>
      </c>
      <c r="AG361" s="1" t="str">
        <v>DPLUS167</v>
      </c>
      <c r="AH361" s="1">
        <v>10</v>
      </c>
      <c r="AI361" s="1">
        <v>2023</v>
      </c>
      <c r="AJ361" s="1" t="str">
        <v>Y1</v>
      </c>
      <c r="AK361" s="1" t="str">
        <v>DPLUS-A07</v>
      </c>
      <c r="AL361" s="1">
        <v>3</v>
      </c>
    </row>
    <row r="362" spans="1:38" ht="14.25" customHeight="1" x14ac:dyDescent="0.25">
      <c r="A362" t="s">
        <v>112</v>
      </c>
      <c r="B362">
        <v>10</v>
      </c>
      <c r="C362">
        <v>2024</v>
      </c>
      <c r="D362" t="s">
        <v>823</v>
      </c>
      <c r="E362" t="s">
        <v>179</v>
      </c>
      <c r="F362">
        <v>4</v>
      </c>
      <c r="AG362" s="1" t="str">
        <v>DPLUS167</v>
      </c>
      <c r="AH362" s="1">
        <v>10</v>
      </c>
      <c r="AI362" s="1">
        <v>2024</v>
      </c>
      <c r="AJ362" s="1" t="str">
        <v>Y2</v>
      </c>
      <c r="AK362" s="1" t="str">
        <v>DPLUS-A07</v>
      </c>
      <c r="AL362" s="1">
        <v>4</v>
      </c>
    </row>
    <row r="363" spans="1:38" ht="14.25" customHeight="1" x14ac:dyDescent="0.25">
      <c r="A363" t="s">
        <v>112</v>
      </c>
      <c r="B363">
        <v>10</v>
      </c>
      <c r="C363">
        <v>2023</v>
      </c>
      <c r="D363" t="s">
        <v>822</v>
      </c>
      <c r="E363" t="s">
        <v>197</v>
      </c>
      <c r="F363">
        <v>16</v>
      </c>
      <c r="AG363" s="1" t="str">
        <v>DPLUS167</v>
      </c>
      <c r="AH363" s="1">
        <v>10</v>
      </c>
      <c r="AI363" s="1">
        <v>2023</v>
      </c>
      <c r="AJ363" s="1" t="str">
        <v>Y1</v>
      </c>
      <c r="AK363" s="1" t="str">
        <v>DPLUS-B05</v>
      </c>
      <c r="AL363" s="1">
        <v>16</v>
      </c>
    </row>
    <row r="364" spans="1:38" ht="14.25" customHeight="1" x14ac:dyDescent="0.25">
      <c r="A364" t="s">
        <v>112</v>
      </c>
      <c r="B364">
        <v>10</v>
      </c>
      <c r="C364">
        <v>2024</v>
      </c>
      <c r="D364" t="s">
        <v>823</v>
      </c>
      <c r="E364" t="s">
        <v>197</v>
      </c>
      <c r="F364">
        <v>21</v>
      </c>
      <c r="AG364" s="1" t="str">
        <v>DPLUS167</v>
      </c>
      <c r="AH364" s="1">
        <v>10</v>
      </c>
      <c r="AI364" s="1">
        <v>2024</v>
      </c>
      <c r="AJ364" s="1" t="str">
        <v>Y2</v>
      </c>
      <c r="AK364" s="1" t="str">
        <v>DPLUS-B05</v>
      </c>
      <c r="AL364" s="1">
        <v>21</v>
      </c>
    </row>
    <row r="365" spans="1:38" ht="14.25" customHeight="1" x14ac:dyDescent="0.25">
      <c r="A365" t="s">
        <v>112</v>
      </c>
      <c r="B365">
        <v>10</v>
      </c>
      <c r="C365">
        <v>2023</v>
      </c>
      <c r="D365" t="s">
        <v>822</v>
      </c>
      <c r="E365" t="s">
        <v>223</v>
      </c>
      <c r="F365">
        <v>2</v>
      </c>
      <c r="AG365" s="1" t="str">
        <v>DPLUS167</v>
      </c>
      <c r="AH365" s="1">
        <v>10</v>
      </c>
      <c r="AI365" s="1">
        <v>2023</v>
      </c>
      <c r="AJ365" s="1" t="str">
        <v>Y1</v>
      </c>
      <c r="AK365" s="1" t="str">
        <v>DPLUS-C05</v>
      </c>
      <c r="AL365" s="1">
        <v>2</v>
      </c>
    </row>
    <row r="366" spans="1:38" ht="14.25" customHeight="1" x14ac:dyDescent="0.25">
      <c r="A366" t="s">
        <v>112</v>
      </c>
      <c r="B366">
        <v>10</v>
      </c>
      <c r="C366">
        <v>2024</v>
      </c>
      <c r="D366" t="s">
        <v>823</v>
      </c>
      <c r="E366" t="s">
        <v>223</v>
      </c>
      <c r="F366">
        <v>1</v>
      </c>
      <c r="AG366" s="1" t="str">
        <v>DPLUS167</v>
      </c>
      <c r="AH366" s="1">
        <v>10</v>
      </c>
      <c r="AI366" s="1">
        <v>2024</v>
      </c>
      <c r="AJ366" s="1" t="str">
        <v>Y2</v>
      </c>
      <c r="AK366" s="1" t="str">
        <v>DPLUS-C05</v>
      </c>
      <c r="AL366" s="1">
        <v>1</v>
      </c>
    </row>
    <row r="367" spans="1:38" ht="14.25" customHeight="1" x14ac:dyDescent="0.25">
      <c r="A367" t="s">
        <v>112</v>
      </c>
      <c r="B367">
        <v>10</v>
      </c>
      <c r="C367">
        <v>2023</v>
      </c>
      <c r="D367" t="s">
        <v>822</v>
      </c>
      <c r="E367" t="s">
        <v>238</v>
      </c>
      <c r="F367">
        <v>24727</v>
      </c>
      <c r="AG367" s="1" t="str">
        <v>DPLUS167</v>
      </c>
      <c r="AH367" s="1">
        <v>10</v>
      </c>
      <c r="AI367" s="1">
        <v>2023</v>
      </c>
      <c r="AJ367" s="1" t="str">
        <v>Y1</v>
      </c>
      <c r="AK367" s="1" t="str">
        <v>DPLUS-C12</v>
      </c>
      <c r="AL367" s="1">
        <v>24727</v>
      </c>
    </row>
    <row r="368" spans="1:38" ht="14.25" customHeight="1" x14ac:dyDescent="0.25">
      <c r="A368" t="s">
        <v>112</v>
      </c>
      <c r="B368">
        <v>10</v>
      </c>
      <c r="C368">
        <v>2024</v>
      </c>
      <c r="D368" t="s">
        <v>823</v>
      </c>
      <c r="E368" t="s">
        <v>238</v>
      </c>
      <c r="F368">
        <v>66000</v>
      </c>
      <c r="AG368" s="1" t="str">
        <v>DPLUS167</v>
      </c>
      <c r="AH368" s="1">
        <v>10</v>
      </c>
      <c r="AI368" s="1">
        <v>2024</v>
      </c>
      <c r="AJ368" s="1" t="str">
        <v>Y2</v>
      </c>
      <c r="AK368" s="1" t="str">
        <v>DPLUS-C12</v>
      </c>
      <c r="AL368" s="1">
        <v>66000</v>
      </c>
    </row>
    <row r="369" spans="1:38" ht="14.25" customHeight="1" x14ac:dyDescent="0.25">
      <c r="A369" t="s">
        <v>112</v>
      </c>
      <c r="B369">
        <v>10</v>
      </c>
      <c r="C369">
        <v>2023</v>
      </c>
      <c r="D369" t="s">
        <v>822</v>
      </c>
      <c r="E369" t="s">
        <v>240</v>
      </c>
      <c r="F369">
        <v>356</v>
      </c>
      <c r="AG369" s="1" t="str">
        <v>DPLUS167</v>
      </c>
      <c r="AH369" s="1">
        <v>10</v>
      </c>
      <c r="AI369" s="1">
        <v>2023</v>
      </c>
      <c r="AJ369" s="1" t="str">
        <v>Y1</v>
      </c>
      <c r="AK369" s="1" t="str">
        <v>DPLUS-C13</v>
      </c>
      <c r="AL369" s="1">
        <v>356</v>
      </c>
    </row>
    <row r="370" spans="1:38" ht="14.25" customHeight="1" x14ac:dyDescent="0.25">
      <c r="A370" t="s">
        <v>112</v>
      </c>
      <c r="B370">
        <v>10</v>
      </c>
      <c r="C370">
        <v>2024</v>
      </c>
      <c r="D370" t="s">
        <v>823</v>
      </c>
      <c r="E370" t="s">
        <v>240</v>
      </c>
      <c r="F370">
        <v>56</v>
      </c>
      <c r="AG370" s="1" t="str">
        <v>DPLUS167</v>
      </c>
      <c r="AH370" s="1">
        <v>10</v>
      </c>
      <c r="AI370" s="1">
        <v>2024</v>
      </c>
      <c r="AJ370" s="1" t="str">
        <v>Y2</v>
      </c>
      <c r="AK370" s="1" t="str">
        <v>DPLUS-C13</v>
      </c>
      <c r="AL370" s="1">
        <v>56</v>
      </c>
    </row>
    <row r="371" spans="1:38" ht="14.25" customHeight="1" x14ac:dyDescent="0.25">
      <c r="A371" t="s">
        <v>112</v>
      </c>
      <c r="B371">
        <v>10</v>
      </c>
      <c r="C371">
        <v>2023</v>
      </c>
      <c r="D371" t="s">
        <v>822</v>
      </c>
      <c r="E371" t="s">
        <v>245</v>
      </c>
      <c r="F371">
        <v>3</v>
      </c>
      <c r="AG371" s="1" t="str">
        <v>DPLUS167</v>
      </c>
      <c r="AH371" s="1">
        <v>10</v>
      </c>
      <c r="AI371" s="1">
        <v>2023</v>
      </c>
      <c r="AJ371" s="1" t="str">
        <v>Y1</v>
      </c>
      <c r="AK371" s="1" t="str">
        <v>DPLUS-C15</v>
      </c>
      <c r="AL371" s="1">
        <v>3</v>
      </c>
    </row>
    <row r="372" spans="1:38" ht="14.25" customHeight="1" x14ac:dyDescent="0.25">
      <c r="A372" t="s">
        <v>112</v>
      </c>
      <c r="B372">
        <v>10</v>
      </c>
      <c r="C372">
        <v>2024</v>
      </c>
      <c r="D372" t="s">
        <v>823</v>
      </c>
      <c r="E372" t="s">
        <v>245</v>
      </c>
      <c r="F372">
        <v>5</v>
      </c>
      <c r="AG372" s="1" t="str">
        <v>DPLUS167</v>
      </c>
      <c r="AH372" s="1">
        <v>10</v>
      </c>
      <c r="AI372" s="1">
        <v>2024</v>
      </c>
      <c r="AJ372" s="1" t="str">
        <v>Y2</v>
      </c>
      <c r="AK372" s="1" t="str">
        <v>DPLUS-C15</v>
      </c>
      <c r="AL372" s="1">
        <v>5</v>
      </c>
    </row>
    <row r="373" spans="1:38" ht="14.25" customHeight="1" x14ac:dyDescent="0.25">
      <c r="A373" t="s">
        <v>116</v>
      </c>
      <c r="B373">
        <v>10</v>
      </c>
      <c r="C373">
        <v>2023</v>
      </c>
      <c r="D373" t="s">
        <v>822</v>
      </c>
      <c r="E373" t="s">
        <v>238</v>
      </c>
      <c r="F373">
        <v>40404</v>
      </c>
      <c r="AG373" s="1" t="str">
        <v>DPLUS169</v>
      </c>
      <c r="AH373" s="1">
        <v>10</v>
      </c>
      <c r="AI373" s="1">
        <v>2023</v>
      </c>
      <c r="AJ373" s="1" t="str">
        <v>Y1</v>
      </c>
      <c r="AK373" s="1" t="str">
        <v>DPLUS-C12</v>
      </c>
      <c r="AL373" s="1">
        <v>40404</v>
      </c>
    </row>
    <row r="374" spans="1:38" ht="14.25" customHeight="1" x14ac:dyDescent="0.25">
      <c r="A374" t="s">
        <v>116</v>
      </c>
      <c r="B374">
        <v>10</v>
      </c>
      <c r="C374">
        <v>2024</v>
      </c>
      <c r="D374" t="s">
        <v>823</v>
      </c>
      <c r="E374" t="s">
        <v>238</v>
      </c>
      <c r="F374">
        <v>0</v>
      </c>
      <c r="AG374" s="1" t="str">
        <v>DPLUS169</v>
      </c>
      <c r="AH374" s="1">
        <v>10</v>
      </c>
      <c r="AI374" s="1">
        <v>2024</v>
      </c>
      <c r="AJ374" s="1" t="str">
        <v>Y2</v>
      </c>
      <c r="AK374" s="1" t="str">
        <v>DPLUS-C12</v>
      </c>
      <c r="AL374" s="1">
        <v>0</v>
      </c>
    </row>
    <row r="375" spans="1:38" ht="14.25" customHeight="1" x14ac:dyDescent="0.25">
      <c r="A375" t="s">
        <v>116</v>
      </c>
      <c r="B375">
        <v>10</v>
      </c>
      <c r="C375">
        <v>2023</v>
      </c>
      <c r="D375" t="s">
        <v>822</v>
      </c>
      <c r="E375" t="s">
        <v>245</v>
      </c>
      <c r="F375">
        <v>6</v>
      </c>
      <c r="AG375" s="1" t="str">
        <v>DPLUS169</v>
      </c>
      <c r="AH375" s="1">
        <v>10</v>
      </c>
      <c r="AI375" s="1">
        <v>2023</v>
      </c>
      <c r="AJ375" s="1" t="str">
        <v>Y1</v>
      </c>
      <c r="AK375" s="1" t="str">
        <v>DPLUS-C15</v>
      </c>
      <c r="AL375" s="1">
        <v>6</v>
      </c>
    </row>
    <row r="376" spans="1:38" ht="14.25" customHeight="1" x14ac:dyDescent="0.25">
      <c r="A376" t="s">
        <v>116</v>
      </c>
      <c r="B376">
        <v>10</v>
      </c>
      <c r="C376">
        <v>2024</v>
      </c>
      <c r="D376" t="s">
        <v>823</v>
      </c>
      <c r="E376" t="s">
        <v>245</v>
      </c>
      <c r="F376">
        <v>0</v>
      </c>
      <c r="AG376" s="1" t="str">
        <v>DPLUS169</v>
      </c>
      <c r="AH376" s="1">
        <v>10</v>
      </c>
      <c r="AI376" s="1">
        <v>2024</v>
      </c>
      <c r="AJ376" s="1" t="str">
        <v>Y2</v>
      </c>
      <c r="AK376" s="1" t="str">
        <v>DPLUS-C15</v>
      </c>
      <c r="AL376" s="1">
        <v>0</v>
      </c>
    </row>
    <row r="377" spans="1:38" ht="14.25" customHeight="1" x14ac:dyDescent="0.25">
      <c r="A377" t="s">
        <v>116</v>
      </c>
      <c r="B377">
        <v>10</v>
      </c>
      <c r="C377">
        <v>2023</v>
      </c>
      <c r="D377" t="s">
        <v>822</v>
      </c>
      <c r="E377" t="s">
        <v>279</v>
      </c>
      <c r="F377">
        <v>1.08</v>
      </c>
      <c r="AG377" s="1" t="str">
        <v>DPLUS169</v>
      </c>
      <c r="AH377" s="1">
        <v>10</v>
      </c>
      <c r="AI377" s="1">
        <v>2023</v>
      </c>
      <c r="AJ377" s="1" t="str">
        <v>Y1</v>
      </c>
      <c r="AK377" s="1" t="str">
        <v>DPLUS-D12</v>
      </c>
      <c r="AL377" s="1">
        <v>1.08</v>
      </c>
    </row>
    <row r="378" spans="1:38" ht="14.25" customHeight="1" x14ac:dyDescent="0.25">
      <c r="A378" t="s">
        <v>116</v>
      </c>
      <c r="B378">
        <v>10</v>
      </c>
      <c r="C378">
        <v>2024</v>
      </c>
      <c r="D378" t="s">
        <v>823</v>
      </c>
      <c r="E378" t="s">
        <v>279</v>
      </c>
      <c r="F378">
        <v>0</v>
      </c>
      <c r="AG378" s="1" t="str">
        <v>DPLUS169</v>
      </c>
      <c r="AH378" s="1">
        <v>10</v>
      </c>
      <c r="AI378" s="1">
        <v>2024</v>
      </c>
      <c r="AJ378" s="1" t="str">
        <v>Y2</v>
      </c>
      <c r="AK378" s="1" t="str">
        <v>DPLUS-D12</v>
      </c>
      <c r="AL378" s="1">
        <v>0</v>
      </c>
    </row>
    <row r="379" spans="1:38" ht="14.25" customHeight="1" x14ac:dyDescent="0.25">
      <c r="A379" t="s">
        <v>316</v>
      </c>
      <c r="B379">
        <v>10</v>
      </c>
      <c r="C379">
        <v>2023</v>
      </c>
      <c r="D379" t="s">
        <v>822</v>
      </c>
      <c r="E379" t="s">
        <v>164</v>
      </c>
      <c r="F379">
        <v>3</v>
      </c>
      <c r="AG379" s="1" t="str">
        <v>DPLUS174</v>
      </c>
      <c r="AH379" s="1">
        <v>10</v>
      </c>
      <c r="AI379" s="1">
        <v>2023</v>
      </c>
      <c r="AJ379" s="1" t="str">
        <v>Y1</v>
      </c>
      <c r="AK379" s="1" t="str">
        <v>DPLUS-A01</v>
      </c>
      <c r="AL379" s="1">
        <v>3</v>
      </c>
    </row>
    <row r="380" spans="1:38" ht="14.25" customHeight="1" x14ac:dyDescent="0.25">
      <c r="A380" t="s">
        <v>316</v>
      </c>
      <c r="B380">
        <v>10</v>
      </c>
      <c r="C380">
        <v>2024</v>
      </c>
      <c r="D380" t="s">
        <v>823</v>
      </c>
      <c r="E380" t="s">
        <v>164</v>
      </c>
      <c r="F380">
        <v>0</v>
      </c>
      <c r="AG380" s="1" t="str">
        <v>DPLUS174</v>
      </c>
      <c r="AH380" s="1">
        <v>10</v>
      </c>
      <c r="AI380" s="1">
        <v>2024</v>
      </c>
      <c r="AJ380" s="1" t="str">
        <v>Y2</v>
      </c>
      <c r="AK380" s="1" t="str">
        <v>DPLUS-A01</v>
      </c>
      <c r="AL380" s="1">
        <v>0</v>
      </c>
    </row>
    <row r="381" spans="1:38" ht="14.25" customHeight="1" x14ac:dyDescent="0.25">
      <c r="A381" t="s">
        <v>316</v>
      </c>
      <c r="B381">
        <v>10</v>
      </c>
      <c r="C381">
        <v>2023</v>
      </c>
      <c r="D381" t="s">
        <v>822</v>
      </c>
      <c r="E381" t="s">
        <v>188</v>
      </c>
      <c r="F381">
        <v>0</v>
      </c>
      <c r="AG381" s="1" t="str">
        <v>DPLUS174</v>
      </c>
      <c r="AH381" s="1">
        <v>10</v>
      </c>
      <c r="AI381" s="1">
        <v>2023</v>
      </c>
      <c r="AJ381" s="1" t="str">
        <v>Y1</v>
      </c>
      <c r="AK381" s="1" t="str">
        <v>DPLUS-B01</v>
      </c>
      <c r="AL381" s="1">
        <v>0</v>
      </c>
    </row>
    <row r="382" spans="1:38" ht="14.25" customHeight="1" x14ac:dyDescent="0.25">
      <c r="A382" t="s">
        <v>316</v>
      </c>
      <c r="B382">
        <v>10</v>
      </c>
      <c r="C382">
        <v>2024</v>
      </c>
      <c r="D382" t="s">
        <v>823</v>
      </c>
      <c r="E382" t="s">
        <v>188</v>
      </c>
      <c r="F382">
        <v>2</v>
      </c>
      <c r="AG382" s="1" t="str">
        <v>DPLUS174</v>
      </c>
      <c r="AH382" s="1">
        <v>10</v>
      </c>
      <c r="AI382" s="1">
        <v>2024</v>
      </c>
      <c r="AJ382" s="1" t="str">
        <v>Y2</v>
      </c>
      <c r="AK382" s="1" t="str">
        <v>DPLUS-B01</v>
      </c>
      <c r="AL382" s="1">
        <v>2</v>
      </c>
    </row>
    <row r="383" spans="1:38" ht="14.25" customHeight="1" x14ac:dyDescent="0.25">
      <c r="A383" t="s">
        <v>316</v>
      </c>
      <c r="B383">
        <v>10</v>
      </c>
      <c r="C383">
        <v>2023</v>
      </c>
      <c r="D383" t="s">
        <v>822</v>
      </c>
      <c r="E383" t="s">
        <v>169</v>
      </c>
      <c r="F383">
        <v>9</v>
      </c>
      <c r="AG383" s="1" t="str">
        <v>DPLUS174</v>
      </c>
      <c r="AH383" s="1">
        <v>10</v>
      </c>
      <c r="AI383" s="1">
        <v>2023</v>
      </c>
      <c r="AJ383" s="1" t="str">
        <v>Y1</v>
      </c>
      <c r="AK383" s="1" t="str">
        <v>DPLUS-A03</v>
      </c>
      <c r="AL383" s="1">
        <v>9</v>
      </c>
    </row>
    <row r="384" spans="1:38" ht="14.25" customHeight="1" x14ac:dyDescent="0.25">
      <c r="A384" t="s">
        <v>316</v>
      </c>
      <c r="B384">
        <v>10</v>
      </c>
      <c r="C384">
        <v>2024</v>
      </c>
      <c r="D384" t="s">
        <v>823</v>
      </c>
      <c r="E384" t="s">
        <v>169</v>
      </c>
      <c r="F384">
        <v>0</v>
      </c>
      <c r="AG384" s="1" t="str">
        <v>DPLUS174</v>
      </c>
      <c r="AH384" s="1">
        <v>10</v>
      </c>
      <c r="AI384" s="1">
        <v>2024</v>
      </c>
      <c r="AJ384" s="1" t="str">
        <v>Y2</v>
      </c>
      <c r="AK384" s="1" t="str">
        <v>DPLUS-A03</v>
      </c>
      <c r="AL384" s="1">
        <v>0</v>
      </c>
    </row>
    <row r="385" spans="1:38" ht="14.25" customHeight="1" x14ac:dyDescent="0.25">
      <c r="A385" t="s">
        <v>316</v>
      </c>
      <c r="B385">
        <v>10</v>
      </c>
      <c r="C385">
        <v>2023</v>
      </c>
      <c r="D385" t="s">
        <v>822</v>
      </c>
      <c r="E385" t="s">
        <v>171</v>
      </c>
      <c r="F385">
        <v>3</v>
      </c>
      <c r="AG385" s="1" t="str">
        <v>DPLUS174</v>
      </c>
      <c r="AH385" s="1">
        <v>10</v>
      </c>
      <c r="AI385" s="1">
        <v>2023</v>
      </c>
      <c r="AJ385" s="1" t="str">
        <v>Y1</v>
      </c>
      <c r="AK385" s="1" t="str">
        <v>DPLUS-A04</v>
      </c>
      <c r="AL385" s="1">
        <v>3</v>
      </c>
    </row>
    <row r="386" spans="1:38" ht="14.25" customHeight="1" x14ac:dyDescent="0.25">
      <c r="A386" t="s">
        <v>316</v>
      </c>
      <c r="B386">
        <v>10</v>
      </c>
      <c r="C386">
        <v>2024</v>
      </c>
      <c r="D386" t="s">
        <v>823</v>
      </c>
      <c r="E386" t="s">
        <v>171</v>
      </c>
      <c r="F386">
        <v>0</v>
      </c>
      <c r="AG386" s="1" t="str">
        <v>DPLUS174</v>
      </c>
      <c r="AH386" s="1">
        <v>10</v>
      </c>
      <c r="AI386" s="1">
        <v>2024</v>
      </c>
      <c r="AJ386" s="1" t="str">
        <v>Y2</v>
      </c>
      <c r="AK386" s="1" t="str">
        <v>DPLUS-A04</v>
      </c>
      <c r="AL386" s="1">
        <v>0</v>
      </c>
    </row>
    <row r="387" spans="1:38" ht="14.25" customHeight="1" x14ac:dyDescent="0.25">
      <c r="A387" t="s">
        <v>316</v>
      </c>
      <c r="B387">
        <v>10</v>
      </c>
      <c r="C387">
        <v>2023</v>
      </c>
      <c r="D387" t="s">
        <v>822</v>
      </c>
      <c r="E387" t="s">
        <v>174</v>
      </c>
      <c r="F387">
        <v>2</v>
      </c>
      <c r="AG387" s="1" t="str">
        <v>DPLUS174</v>
      </c>
      <c r="AH387" s="1">
        <v>10</v>
      </c>
      <c r="AI387" s="1">
        <v>2023</v>
      </c>
      <c r="AJ387" s="1" t="str">
        <v>Y1</v>
      </c>
      <c r="AK387" s="1" t="str">
        <v>DPLUS-A05</v>
      </c>
      <c r="AL387" s="1">
        <v>2</v>
      </c>
    </row>
    <row r="388" spans="1:38" ht="14.25" customHeight="1" x14ac:dyDescent="0.25">
      <c r="A388" t="s">
        <v>316</v>
      </c>
      <c r="B388">
        <v>10</v>
      </c>
      <c r="C388">
        <v>2024</v>
      </c>
      <c r="D388" t="s">
        <v>823</v>
      </c>
      <c r="E388" t="s">
        <v>174</v>
      </c>
      <c r="F388">
        <v>0</v>
      </c>
      <c r="AG388" s="1" t="str">
        <v>DPLUS174</v>
      </c>
      <c r="AH388" s="1">
        <v>10</v>
      </c>
      <c r="AI388" s="1">
        <v>2024</v>
      </c>
      <c r="AJ388" s="1" t="str">
        <v>Y2</v>
      </c>
      <c r="AK388" s="1" t="str">
        <v>DPLUS-A05</v>
      </c>
      <c r="AL388" s="1">
        <v>0</v>
      </c>
    </row>
    <row r="389" spans="1:38" ht="14.25" customHeight="1" x14ac:dyDescent="0.25">
      <c r="A389" t="s">
        <v>316</v>
      </c>
      <c r="B389">
        <v>10</v>
      </c>
      <c r="C389">
        <v>2023</v>
      </c>
      <c r="D389" t="s">
        <v>822</v>
      </c>
      <c r="E389" t="s">
        <v>188</v>
      </c>
      <c r="F389">
        <v>1</v>
      </c>
      <c r="AG389" s="1" t="str">
        <v>DPLUS174</v>
      </c>
      <c r="AH389" s="1">
        <v>10</v>
      </c>
      <c r="AI389" s="1">
        <v>2023</v>
      </c>
      <c r="AJ389" s="1" t="str">
        <v>Y1</v>
      </c>
      <c r="AK389" s="1" t="str">
        <v>DPLUS-B01</v>
      </c>
      <c r="AL389" s="1">
        <v>1</v>
      </c>
    </row>
    <row r="390" spans="1:38" ht="14.25" customHeight="1" x14ac:dyDescent="0.25">
      <c r="A390" t="s">
        <v>316</v>
      </c>
      <c r="B390">
        <v>10</v>
      </c>
      <c r="C390">
        <v>2024</v>
      </c>
      <c r="D390" t="s">
        <v>823</v>
      </c>
      <c r="E390" t="s">
        <v>188</v>
      </c>
      <c r="F390">
        <v>0</v>
      </c>
      <c r="AG390" s="1" t="str">
        <v>DPLUS174</v>
      </c>
      <c r="AH390" s="1">
        <v>10</v>
      </c>
      <c r="AI390" s="1">
        <v>2024</v>
      </c>
      <c r="AJ390" s="1" t="str">
        <v>Y2</v>
      </c>
      <c r="AK390" s="1" t="str">
        <v>DPLUS-B01</v>
      </c>
      <c r="AL390" s="1">
        <v>0</v>
      </c>
    </row>
    <row r="391" spans="1:38" ht="14.25" customHeight="1" x14ac:dyDescent="0.25">
      <c r="A391" t="s">
        <v>316</v>
      </c>
      <c r="B391">
        <v>10</v>
      </c>
      <c r="C391">
        <v>2023</v>
      </c>
      <c r="D391" t="s">
        <v>822</v>
      </c>
      <c r="E391" t="s">
        <v>190</v>
      </c>
      <c r="F391">
        <v>1</v>
      </c>
      <c r="AG391" s="1" t="str">
        <v>DPLUS174</v>
      </c>
      <c r="AH391" s="1">
        <v>10</v>
      </c>
      <c r="AI391" s="1">
        <v>2023</v>
      </c>
      <c r="AJ391" s="1" t="str">
        <v>Y1</v>
      </c>
      <c r="AK391" s="1" t="str">
        <v>DPLUS-B02</v>
      </c>
      <c r="AL391" s="1">
        <v>1</v>
      </c>
    </row>
    <row r="392" spans="1:38" ht="14.25" customHeight="1" x14ac:dyDescent="0.25">
      <c r="A392" t="s">
        <v>316</v>
      </c>
      <c r="B392">
        <v>10</v>
      </c>
      <c r="C392">
        <v>2024</v>
      </c>
      <c r="D392" t="s">
        <v>823</v>
      </c>
      <c r="E392" t="s">
        <v>190</v>
      </c>
      <c r="F392">
        <v>0</v>
      </c>
      <c r="AG392" s="1" t="str">
        <v>DPLUS174</v>
      </c>
      <c r="AH392" s="1">
        <v>10</v>
      </c>
      <c r="AI392" s="1">
        <v>2024</v>
      </c>
      <c r="AJ392" s="1" t="str">
        <v>Y2</v>
      </c>
      <c r="AK392" s="1" t="str">
        <v>DPLUS-B02</v>
      </c>
      <c r="AL392" s="1">
        <v>0</v>
      </c>
    </row>
    <row r="393" spans="1:38" ht="14.25" customHeight="1" x14ac:dyDescent="0.25">
      <c r="A393" t="s">
        <v>316</v>
      </c>
      <c r="B393">
        <v>10</v>
      </c>
      <c r="C393">
        <v>2023</v>
      </c>
      <c r="D393" t="s">
        <v>822</v>
      </c>
      <c r="E393" t="s">
        <v>223</v>
      </c>
      <c r="F393">
        <v>4</v>
      </c>
      <c r="AG393" s="1" t="str">
        <v>DPLUS174</v>
      </c>
      <c r="AH393" s="1">
        <v>10</v>
      </c>
      <c r="AI393" s="1">
        <v>2023</v>
      </c>
      <c r="AJ393" s="1" t="str">
        <v>Y1</v>
      </c>
      <c r="AK393" s="1" t="str">
        <v>DPLUS-C05</v>
      </c>
      <c r="AL393" s="1">
        <v>4</v>
      </c>
    </row>
    <row r="394" spans="1:38" ht="14.25" customHeight="1" x14ac:dyDescent="0.25">
      <c r="A394" t="s">
        <v>316</v>
      </c>
      <c r="B394">
        <v>10</v>
      </c>
      <c r="C394">
        <v>2024</v>
      </c>
      <c r="D394" t="s">
        <v>823</v>
      </c>
      <c r="E394" t="s">
        <v>223</v>
      </c>
      <c r="F394">
        <v>0</v>
      </c>
      <c r="AG394" s="1" t="str">
        <v>DPLUS174</v>
      </c>
      <c r="AH394" s="1">
        <v>10</v>
      </c>
      <c r="AI394" s="1">
        <v>2024</v>
      </c>
      <c r="AJ394" s="1" t="str">
        <v>Y2</v>
      </c>
      <c r="AK394" s="1" t="str">
        <v>DPLUS-C05</v>
      </c>
      <c r="AL394" s="1">
        <v>0</v>
      </c>
    </row>
    <row r="395" spans="1:38" ht="14.25" customHeight="1" x14ac:dyDescent="0.25">
      <c r="A395" t="s">
        <v>317</v>
      </c>
      <c r="B395">
        <v>10</v>
      </c>
      <c r="C395">
        <v>2023</v>
      </c>
      <c r="D395" t="s">
        <v>822</v>
      </c>
      <c r="E395" s="2" t="s">
        <v>164</v>
      </c>
      <c r="F395">
        <v>0</v>
      </c>
      <c r="AG395" s="1" t="str">
        <v>DPLUS175</v>
      </c>
      <c r="AH395" s="1">
        <v>10</v>
      </c>
      <c r="AI395" s="1">
        <v>2023</v>
      </c>
      <c r="AJ395" s="1" t="str">
        <v>Y1</v>
      </c>
      <c r="AK395" s="1" t="str">
        <v>DPLUS-A01</v>
      </c>
      <c r="AL395" s="1">
        <v>0</v>
      </c>
    </row>
    <row r="396" spans="1:38" ht="14.25" customHeight="1" x14ac:dyDescent="0.25">
      <c r="A396" t="s">
        <v>317</v>
      </c>
      <c r="B396">
        <v>10</v>
      </c>
      <c r="C396">
        <v>2024</v>
      </c>
      <c r="D396" t="s">
        <v>823</v>
      </c>
      <c r="E396" s="2" t="s">
        <v>164</v>
      </c>
      <c r="F396">
        <v>0</v>
      </c>
      <c r="AG396" s="1" t="str">
        <v>DPLUS175</v>
      </c>
      <c r="AH396" s="1">
        <v>10</v>
      </c>
      <c r="AI396" s="1">
        <v>2024</v>
      </c>
      <c r="AJ396" s="1" t="str">
        <v>Y2</v>
      </c>
      <c r="AK396" s="1" t="str">
        <v>DPLUS-A01</v>
      </c>
      <c r="AL396" s="1">
        <v>0</v>
      </c>
    </row>
    <row r="397" spans="1:38" ht="14.25" customHeight="1" x14ac:dyDescent="0.25">
      <c r="A397" t="s">
        <v>317</v>
      </c>
      <c r="B397">
        <v>10</v>
      </c>
      <c r="C397">
        <v>2023</v>
      </c>
      <c r="D397" t="s">
        <v>822</v>
      </c>
      <c r="E397" s="2" t="s">
        <v>167</v>
      </c>
      <c r="F397">
        <v>0</v>
      </c>
      <c r="AG397" s="1" t="str">
        <v>DPLUS175</v>
      </c>
      <c r="AH397" s="1">
        <v>10</v>
      </c>
      <c r="AI397" s="1">
        <v>2023</v>
      </c>
      <c r="AJ397" s="1" t="str">
        <v>Y1</v>
      </c>
      <c r="AK397" s="1" t="str">
        <v>DPLUS-A02</v>
      </c>
      <c r="AL397" s="1">
        <v>0</v>
      </c>
    </row>
    <row r="398" spans="1:38" ht="14.25" customHeight="1" x14ac:dyDescent="0.25">
      <c r="A398" t="s">
        <v>317</v>
      </c>
      <c r="B398">
        <v>10</v>
      </c>
      <c r="C398">
        <v>2024</v>
      </c>
      <c r="D398" t="s">
        <v>823</v>
      </c>
      <c r="E398" s="2" t="s">
        <v>167</v>
      </c>
      <c r="F398">
        <v>0</v>
      </c>
      <c r="AG398" s="1" t="str">
        <v>DPLUS175</v>
      </c>
      <c r="AH398" s="1">
        <v>10</v>
      </c>
      <c r="AI398" s="1">
        <v>2024</v>
      </c>
      <c r="AJ398" s="1" t="str">
        <v>Y2</v>
      </c>
      <c r="AK398" s="1" t="str">
        <v>DPLUS-A02</v>
      </c>
      <c r="AL398" s="1">
        <v>0</v>
      </c>
    </row>
    <row r="399" spans="1:38" ht="14.25" customHeight="1" x14ac:dyDescent="0.25">
      <c r="A399" t="s">
        <v>317</v>
      </c>
      <c r="B399">
        <v>10</v>
      </c>
      <c r="C399">
        <v>2023</v>
      </c>
      <c r="D399" t="s">
        <v>822</v>
      </c>
      <c r="E399" s="2" t="s">
        <v>169</v>
      </c>
      <c r="F399">
        <v>0</v>
      </c>
      <c r="AG399" s="1" t="str">
        <v>DPLUS175</v>
      </c>
      <c r="AH399" s="1">
        <v>10</v>
      </c>
      <c r="AI399" s="1">
        <v>2023</v>
      </c>
      <c r="AJ399" s="1" t="str">
        <v>Y1</v>
      </c>
      <c r="AK399" s="1" t="str">
        <v>DPLUS-A03</v>
      </c>
      <c r="AL399" s="1">
        <v>0</v>
      </c>
    </row>
    <row r="400" spans="1:38" ht="14.25" customHeight="1" x14ac:dyDescent="0.25">
      <c r="A400" t="s">
        <v>317</v>
      </c>
      <c r="B400">
        <v>10</v>
      </c>
      <c r="C400">
        <v>2024</v>
      </c>
      <c r="D400" t="s">
        <v>823</v>
      </c>
      <c r="E400" s="2" t="s">
        <v>169</v>
      </c>
      <c r="F400">
        <v>0</v>
      </c>
      <c r="AG400" s="1" t="str">
        <v>DPLUS175</v>
      </c>
      <c r="AH400" s="1">
        <v>10</v>
      </c>
      <c r="AI400" s="1">
        <v>2024</v>
      </c>
      <c r="AJ400" s="1" t="str">
        <v>Y2</v>
      </c>
      <c r="AK400" s="1" t="str">
        <v>DPLUS-A03</v>
      </c>
      <c r="AL400" s="1">
        <v>0</v>
      </c>
    </row>
    <row r="401" spans="1:38" ht="14.25" customHeight="1" x14ac:dyDescent="0.25">
      <c r="A401" t="s">
        <v>317</v>
      </c>
      <c r="B401">
        <v>10</v>
      </c>
      <c r="C401">
        <v>2023</v>
      </c>
      <c r="D401" t="s">
        <v>822</v>
      </c>
      <c r="E401" s="2" t="s">
        <v>826</v>
      </c>
      <c r="F401">
        <v>0</v>
      </c>
      <c r="AG401" s="1" t="str">
        <v>DPLUS175</v>
      </c>
      <c r="AH401" s="1">
        <v>10</v>
      </c>
      <c r="AI401" s="1">
        <v>2023</v>
      </c>
      <c r="AJ401" s="1" t="str">
        <v>Y1</v>
      </c>
      <c r="AK401" s="1" t="str">
        <v>DPLUS-A04  </v>
      </c>
      <c r="AL401" s="1">
        <v>0</v>
      </c>
    </row>
    <row r="402" spans="1:38" ht="14.25" customHeight="1" x14ac:dyDescent="0.25">
      <c r="A402" t="s">
        <v>317</v>
      </c>
      <c r="B402">
        <v>10</v>
      </c>
      <c r="C402">
        <v>2024</v>
      </c>
      <c r="D402" t="s">
        <v>823</v>
      </c>
      <c r="E402" s="2" t="s">
        <v>826</v>
      </c>
      <c r="F402">
        <v>0</v>
      </c>
      <c r="AG402" s="1" t="str">
        <v>DPLUS175</v>
      </c>
      <c r="AH402" s="1">
        <v>10</v>
      </c>
      <c r="AI402" s="1">
        <v>2024</v>
      </c>
      <c r="AJ402" s="1" t="str">
        <v>Y2</v>
      </c>
      <c r="AK402" s="1" t="str">
        <v>DPLUS-A04  </v>
      </c>
      <c r="AL402" s="1">
        <v>0</v>
      </c>
    </row>
    <row r="403" spans="1:38" ht="14.25" customHeight="1" x14ac:dyDescent="0.25">
      <c r="A403" t="s">
        <v>317</v>
      </c>
      <c r="B403">
        <v>10</v>
      </c>
      <c r="C403">
        <v>2023</v>
      </c>
      <c r="D403" t="s">
        <v>822</v>
      </c>
      <c r="E403" s="2" t="s">
        <v>188</v>
      </c>
      <c r="F403">
        <v>0</v>
      </c>
      <c r="AG403" s="1" t="str">
        <v>DPLUS175</v>
      </c>
      <c r="AH403" s="1">
        <v>10</v>
      </c>
      <c r="AI403" s="1">
        <v>2023</v>
      </c>
      <c r="AJ403" s="1" t="str">
        <v>Y1</v>
      </c>
      <c r="AK403" s="1" t="str">
        <v>DPLUS-B01</v>
      </c>
      <c r="AL403" s="1">
        <v>0</v>
      </c>
    </row>
    <row r="404" spans="1:38" ht="14.25" customHeight="1" x14ac:dyDescent="0.25">
      <c r="A404" t="s">
        <v>317</v>
      </c>
      <c r="B404">
        <v>10</v>
      </c>
      <c r="C404">
        <v>2024</v>
      </c>
      <c r="D404" t="s">
        <v>823</v>
      </c>
      <c r="E404" s="2" t="s">
        <v>188</v>
      </c>
      <c r="F404">
        <v>0</v>
      </c>
      <c r="AG404" s="1" t="str">
        <v>DPLUS175</v>
      </c>
      <c r="AH404" s="1">
        <v>10</v>
      </c>
      <c r="AI404" s="1">
        <v>2024</v>
      </c>
      <c r="AJ404" s="1" t="str">
        <v>Y2</v>
      </c>
      <c r="AK404" s="1" t="str">
        <v>DPLUS-B01</v>
      </c>
      <c r="AL404" s="1">
        <v>0</v>
      </c>
    </row>
    <row r="405" spans="1:38" ht="14.25" customHeight="1" x14ac:dyDescent="0.25">
      <c r="A405" t="s">
        <v>317</v>
      </c>
      <c r="B405">
        <v>10</v>
      </c>
      <c r="C405">
        <v>2023</v>
      </c>
      <c r="D405" t="s">
        <v>822</v>
      </c>
      <c r="E405" s="2" t="s">
        <v>190</v>
      </c>
      <c r="F405">
        <v>0</v>
      </c>
      <c r="AG405" s="1" t="str">
        <v>DPLUS175</v>
      </c>
      <c r="AH405" s="1">
        <v>10</v>
      </c>
      <c r="AI405" s="1">
        <v>2023</v>
      </c>
      <c r="AJ405" s="1" t="str">
        <v>Y1</v>
      </c>
      <c r="AK405" s="1" t="str">
        <v>DPLUS-B02</v>
      </c>
      <c r="AL405" s="1">
        <v>0</v>
      </c>
    </row>
    <row r="406" spans="1:38" ht="14.25" customHeight="1" x14ac:dyDescent="0.25">
      <c r="A406" t="s">
        <v>317</v>
      </c>
      <c r="B406">
        <v>10</v>
      </c>
      <c r="C406">
        <v>2024</v>
      </c>
      <c r="D406" t="s">
        <v>823</v>
      </c>
      <c r="E406" s="2" t="s">
        <v>190</v>
      </c>
      <c r="F406">
        <v>0</v>
      </c>
      <c r="AG406" s="1" t="str">
        <v>DPLUS175</v>
      </c>
      <c r="AH406" s="1">
        <v>10</v>
      </c>
      <c r="AI406" s="1">
        <v>2024</v>
      </c>
      <c r="AJ406" s="1" t="str">
        <v>Y2</v>
      </c>
      <c r="AK406" s="1" t="str">
        <v>DPLUS-B02</v>
      </c>
      <c r="AL406" s="1">
        <v>0</v>
      </c>
    </row>
    <row r="407" spans="1:38" ht="14.25" customHeight="1" x14ac:dyDescent="0.25">
      <c r="A407" t="s">
        <v>317</v>
      </c>
      <c r="B407">
        <v>10</v>
      </c>
      <c r="C407">
        <v>2023</v>
      </c>
      <c r="D407" t="s">
        <v>822</v>
      </c>
      <c r="E407" s="2" t="s">
        <v>192</v>
      </c>
      <c r="F407">
        <v>0</v>
      </c>
      <c r="AG407" s="1" t="str">
        <v>DPLUS175</v>
      </c>
      <c r="AH407" s="1">
        <v>10</v>
      </c>
      <c r="AI407" s="1">
        <v>2023</v>
      </c>
      <c r="AJ407" s="1" t="str">
        <v>Y1</v>
      </c>
      <c r="AK407" s="1" t="str">
        <v>DPLUS-B03</v>
      </c>
      <c r="AL407" s="1">
        <v>0</v>
      </c>
    </row>
    <row r="408" spans="1:38" ht="14.25" customHeight="1" x14ac:dyDescent="0.25">
      <c r="A408" t="s">
        <v>317</v>
      </c>
      <c r="B408">
        <v>10</v>
      </c>
      <c r="C408">
        <v>2024</v>
      </c>
      <c r="D408" t="s">
        <v>823</v>
      </c>
      <c r="E408" s="2" t="s">
        <v>192</v>
      </c>
      <c r="F408">
        <v>0</v>
      </c>
      <c r="AG408" s="1" t="str">
        <v>DPLUS175</v>
      </c>
      <c r="AH408" s="1">
        <v>10</v>
      </c>
      <c r="AI408" s="1">
        <v>2024</v>
      </c>
      <c r="AJ408" s="1" t="str">
        <v>Y2</v>
      </c>
      <c r="AK408" s="1" t="str">
        <v>DPLUS-B03</v>
      </c>
      <c r="AL408" s="1">
        <v>0</v>
      </c>
    </row>
    <row r="409" spans="1:38" ht="14.25" customHeight="1" x14ac:dyDescent="0.25">
      <c r="A409" t="s">
        <v>317</v>
      </c>
      <c r="B409">
        <v>10</v>
      </c>
      <c r="C409">
        <v>2023</v>
      </c>
      <c r="D409" t="s">
        <v>822</v>
      </c>
      <c r="E409" s="2" t="s">
        <v>215</v>
      </c>
      <c r="F409">
        <v>0</v>
      </c>
      <c r="AG409" s="1" t="str">
        <v>DPLUS175</v>
      </c>
      <c r="AH409" s="1">
        <v>10</v>
      </c>
      <c r="AI409" s="1">
        <v>2023</v>
      </c>
      <c r="AJ409" s="1" t="str">
        <v>Y1</v>
      </c>
      <c r="AK409" s="1" t="str">
        <v>DPLUS-C01</v>
      </c>
      <c r="AL409" s="1">
        <v>0</v>
      </c>
    </row>
    <row r="410" spans="1:38" ht="14.25" customHeight="1" x14ac:dyDescent="0.25">
      <c r="A410" t="s">
        <v>317</v>
      </c>
      <c r="B410">
        <v>10</v>
      </c>
      <c r="C410">
        <v>2024</v>
      </c>
      <c r="D410" t="s">
        <v>823</v>
      </c>
      <c r="E410" s="2" t="s">
        <v>215</v>
      </c>
      <c r="F410">
        <v>7</v>
      </c>
      <c r="AG410" s="1" t="str">
        <v>DPLUS175</v>
      </c>
      <c r="AH410" s="1">
        <v>10</v>
      </c>
      <c r="AI410" s="1">
        <v>2024</v>
      </c>
      <c r="AJ410" s="1" t="str">
        <v>Y2</v>
      </c>
      <c r="AK410" s="1" t="str">
        <v>DPLUS-C01</v>
      </c>
      <c r="AL410" s="1">
        <v>7</v>
      </c>
    </row>
    <row r="411" spans="1:38" ht="14.25" customHeight="1" x14ac:dyDescent="0.25">
      <c r="A411" t="s">
        <v>317</v>
      </c>
      <c r="B411">
        <v>10</v>
      </c>
      <c r="C411">
        <v>2023</v>
      </c>
      <c r="D411" t="s">
        <v>822</v>
      </c>
      <c r="E411" s="2" t="s">
        <v>217</v>
      </c>
      <c r="F411">
        <v>0</v>
      </c>
      <c r="AG411" s="1" t="str">
        <v>DPLUS175</v>
      </c>
      <c r="AH411" s="1">
        <v>10</v>
      </c>
      <c r="AI411" s="1">
        <v>2023</v>
      </c>
      <c r="AJ411" s="1" t="str">
        <v>Y1</v>
      </c>
      <c r="AK411" s="1" t="str">
        <v>DPLUS-C02</v>
      </c>
      <c r="AL411" s="1">
        <v>0</v>
      </c>
    </row>
    <row r="412" spans="1:38" ht="14.25" customHeight="1" x14ac:dyDescent="0.25">
      <c r="A412" t="s">
        <v>317</v>
      </c>
      <c r="B412">
        <v>10</v>
      </c>
      <c r="C412">
        <v>2024</v>
      </c>
      <c r="D412" t="s">
        <v>823</v>
      </c>
      <c r="E412" s="2" t="s">
        <v>217</v>
      </c>
      <c r="F412">
        <v>3</v>
      </c>
      <c r="AG412" s="1" t="str">
        <v>DPLUS175</v>
      </c>
      <c r="AH412" s="1">
        <v>10</v>
      </c>
      <c r="AI412" s="1">
        <v>2024</v>
      </c>
      <c r="AJ412" s="1" t="str">
        <v>Y2</v>
      </c>
      <c r="AK412" s="1" t="str">
        <v>DPLUS-C02</v>
      </c>
      <c r="AL412" s="1">
        <v>3</v>
      </c>
    </row>
    <row r="413" spans="1:38" ht="14.25" customHeight="1" x14ac:dyDescent="0.25">
      <c r="A413" t="s">
        <v>317</v>
      </c>
      <c r="B413">
        <v>10</v>
      </c>
      <c r="C413">
        <v>2023</v>
      </c>
      <c r="D413" t="s">
        <v>822</v>
      </c>
      <c r="E413" s="2" t="s">
        <v>219</v>
      </c>
      <c r="F413">
        <v>0</v>
      </c>
      <c r="AG413" s="1" t="str">
        <v>DPLUS175</v>
      </c>
      <c r="AH413" s="1">
        <v>10</v>
      </c>
      <c r="AI413" s="1">
        <v>2023</v>
      </c>
      <c r="AJ413" s="1" t="str">
        <v>Y1</v>
      </c>
      <c r="AK413" s="1" t="str">
        <v>DPLUS-C03</v>
      </c>
      <c r="AL413" s="1">
        <v>0</v>
      </c>
    </row>
    <row r="414" spans="1:38" ht="14.25" customHeight="1" x14ac:dyDescent="0.25">
      <c r="A414" t="s">
        <v>317</v>
      </c>
      <c r="B414">
        <v>10</v>
      </c>
      <c r="C414">
        <v>2024</v>
      </c>
      <c r="D414" t="s">
        <v>823</v>
      </c>
      <c r="E414" s="2" t="s">
        <v>219</v>
      </c>
      <c r="F414">
        <v>0</v>
      </c>
      <c r="AG414" s="1" t="str">
        <v>DPLUS175</v>
      </c>
      <c r="AH414" s="1">
        <v>10</v>
      </c>
      <c r="AI414" s="1">
        <v>2024</v>
      </c>
      <c r="AJ414" s="1" t="str">
        <v>Y2</v>
      </c>
      <c r="AK414" s="1" t="str">
        <v>DPLUS-C03</v>
      </c>
      <c r="AL414" s="1">
        <v>0</v>
      </c>
    </row>
    <row r="415" spans="1:38" ht="14.25" customHeight="1" x14ac:dyDescent="0.25">
      <c r="A415" t="s">
        <v>317</v>
      </c>
      <c r="B415">
        <v>10</v>
      </c>
      <c r="C415">
        <v>2023</v>
      </c>
      <c r="D415" t="s">
        <v>822</v>
      </c>
      <c r="E415" s="2" t="s">
        <v>221</v>
      </c>
      <c r="F415">
        <v>0</v>
      </c>
      <c r="AG415" s="1" t="str">
        <v>DPLUS175</v>
      </c>
      <c r="AH415" s="1">
        <v>10</v>
      </c>
      <c r="AI415" s="1">
        <v>2023</v>
      </c>
      <c r="AJ415" s="1" t="str">
        <v>Y1</v>
      </c>
      <c r="AK415" s="1" t="str">
        <v>DPLUS-C04</v>
      </c>
      <c r="AL415" s="1">
        <v>0</v>
      </c>
    </row>
    <row r="416" spans="1:38" ht="14.25" customHeight="1" x14ac:dyDescent="0.25">
      <c r="A416" t="s">
        <v>317</v>
      </c>
      <c r="B416">
        <v>10</v>
      </c>
      <c r="C416">
        <v>2024</v>
      </c>
      <c r="D416" t="s">
        <v>823</v>
      </c>
      <c r="E416" s="2" t="s">
        <v>221</v>
      </c>
      <c r="F416">
        <v>0</v>
      </c>
      <c r="AG416" s="1" t="str">
        <v>DPLUS175</v>
      </c>
      <c r="AH416" s="1">
        <v>10</v>
      </c>
      <c r="AI416" s="1">
        <v>2024</v>
      </c>
      <c r="AJ416" s="1" t="str">
        <v>Y2</v>
      </c>
      <c r="AK416" s="1" t="str">
        <v>DPLUS-C04</v>
      </c>
      <c r="AL416" s="1">
        <v>0</v>
      </c>
    </row>
    <row r="417" spans="1:38" ht="14.25" customHeight="1" x14ac:dyDescent="0.25">
      <c r="A417" t="s">
        <v>317</v>
      </c>
      <c r="B417">
        <v>10</v>
      </c>
      <c r="C417">
        <v>2023</v>
      </c>
      <c r="D417" t="s">
        <v>822</v>
      </c>
      <c r="E417" s="2" t="s">
        <v>257</v>
      </c>
      <c r="F417">
        <v>0</v>
      </c>
      <c r="AG417" s="1" t="str">
        <v>DPLUS175</v>
      </c>
      <c r="AH417" s="1">
        <v>10</v>
      </c>
      <c r="AI417" s="1">
        <v>2023</v>
      </c>
      <c r="AJ417" s="1" t="str">
        <v>Y1</v>
      </c>
      <c r="AK417" s="1" t="str">
        <v>DPLUS-D01</v>
      </c>
      <c r="AL417" s="1">
        <v>0</v>
      </c>
    </row>
    <row r="418" spans="1:38" ht="14.25" customHeight="1" x14ac:dyDescent="0.25">
      <c r="A418" t="s">
        <v>317</v>
      </c>
      <c r="B418">
        <v>10</v>
      </c>
      <c r="C418">
        <v>2024</v>
      </c>
      <c r="D418" t="s">
        <v>823</v>
      </c>
      <c r="E418" s="2" t="s">
        <v>257</v>
      </c>
      <c r="F418">
        <v>0</v>
      </c>
      <c r="AG418" s="1" t="str">
        <v>DPLUS175</v>
      </c>
      <c r="AH418" s="1">
        <v>10</v>
      </c>
      <c r="AI418" s="1">
        <v>2024</v>
      </c>
      <c r="AJ418" s="1" t="str">
        <v>Y2</v>
      </c>
      <c r="AK418" s="1" t="str">
        <v>DPLUS-D01</v>
      </c>
      <c r="AL418" s="1">
        <v>0</v>
      </c>
    </row>
    <row r="419" spans="1:38" ht="14.25" customHeight="1" x14ac:dyDescent="0.25">
      <c r="A419" t="s">
        <v>317</v>
      </c>
      <c r="B419">
        <v>10</v>
      </c>
      <c r="C419">
        <v>2023</v>
      </c>
      <c r="D419" t="s">
        <v>822</v>
      </c>
      <c r="E419" s="2" t="s">
        <v>259</v>
      </c>
      <c r="F419">
        <v>0</v>
      </c>
      <c r="AG419" s="1" t="str">
        <v>DPLUS175</v>
      </c>
      <c r="AH419" s="1">
        <v>10</v>
      </c>
      <c r="AI419" s="1">
        <v>2023</v>
      </c>
      <c r="AJ419" s="1" t="str">
        <v>Y1</v>
      </c>
      <c r="AK419" s="1" t="str">
        <v>DPLUS-D02</v>
      </c>
      <c r="AL419" s="1">
        <v>0</v>
      </c>
    </row>
    <row r="420" spans="1:38" ht="14.25" customHeight="1" x14ac:dyDescent="0.25">
      <c r="A420" t="s">
        <v>317</v>
      </c>
      <c r="B420">
        <v>10</v>
      </c>
      <c r="C420">
        <v>2024</v>
      </c>
      <c r="D420" t="s">
        <v>823</v>
      </c>
      <c r="E420" s="2" t="s">
        <v>259</v>
      </c>
      <c r="F420">
        <v>0</v>
      </c>
      <c r="AG420" s="1" t="str">
        <v>DPLUS175</v>
      </c>
      <c r="AH420" s="1">
        <v>10</v>
      </c>
      <c r="AI420" s="1">
        <v>2024</v>
      </c>
      <c r="AJ420" s="1" t="str">
        <v>Y2</v>
      </c>
      <c r="AK420" s="1" t="str">
        <v>DPLUS-D02</v>
      </c>
      <c r="AL420" s="1">
        <v>0</v>
      </c>
    </row>
    <row r="421" spans="1:38" ht="14.25" customHeight="1" x14ac:dyDescent="0.25">
      <c r="A421" t="s">
        <v>317</v>
      </c>
      <c r="B421">
        <v>10</v>
      </c>
      <c r="C421">
        <v>2023</v>
      </c>
      <c r="D421" t="s">
        <v>822</v>
      </c>
      <c r="E421" s="2" t="s">
        <v>261</v>
      </c>
      <c r="F421">
        <v>0</v>
      </c>
      <c r="AG421" s="1" t="str">
        <v>DPLUS175</v>
      </c>
      <c r="AH421" s="1">
        <v>10</v>
      </c>
      <c r="AI421" s="1">
        <v>2023</v>
      </c>
      <c r="AJ421" s="1" t="str">
        <v>Y1</v>
      </c>
      <c r="AK421" s="1" t="str">
        <v>DPLUS-D03</v>
      </c>
      <c r="AL421" s="1">
        <v>0</v>
      </c>
    </row>
    <row r="422" spans="1:38" ht="14.25" customHeight="1" x14ac:dyDescent="0.25">
      <c r="A422" t="s">
        <v>317</v>
      </c>
      <c r="B422">
        <v>10</v>
      </c>
      <c r="C422">
        <v>2024</v>
      </c>
      <c r="D422" t="s">
        <v>823</v>
      </c>
      <c r="E422" s="2" t="s">
        <v>261</v>
      </c>
      <c r="F422">
        <v>0</v>
      </c>
      <c r="AG422" s="1" t="str">
        <v>DPLUS175</v>
      </c>
      <c r="AH422" s="1">
        <v>10</v>
      </c>
      <c r="AI422" s="1">
        <v>2024</v>
      </c>
      <c r="AJ422" s="1" t="str">
        <v>Y2</v>
      </c>
      <c r="AK422" s="1" t="str">
        <v>DPLUS-D03</v>
      </c>
      <c r="AL422" s="1">
        <v>0</v>
      </c>
    </row>
    <row r="423" spans="1:38" ht="14.25" customHeight="1" x14ac:dyDescent="0.25">
      <c r="A423" t="s">
        <v>317</v>
      </c>
      <c r="B423">
        <v>10</v>
      </c>
      <c r="C423">
        <v>2023</v>
      </c>
      <c r="D423" t="s">
        <v>822</v>
      </c>
      <c r="E423" s="2" t="s">
        <v>263</v>
      </c>
      <c r="F423">
        <v>0</v>
      </c>
      <c r="AG423" s="1" t="str">
        <v>DPLUS175</v>
      </c>
      <c r="AH423" s="1">
        <v>10</v>
      </c>
      <c r="AI423" s="1">
        <v>2023</v>
      </c>
      <c r="AJ423" s="1" t="str">
        <v>Y1</v>
      </c>
      <c r="AK423" s="1" t="str">
        <v>DPLUS-D04</v>
      </c>
      <c r="AL423" s="1">
        <v>0</v>
      </c>
    </row>
    <row r="424" spans="1:38" ht="14.25" customHeight="1" x14ac:dyDescent="0.25">
      <c r="A424" t="s">
        <v>317</v>
      </c>
      <c r="B424">
        <v>10</v>
      </c>
      <c r="C424">
        <v>2024</v>
      </c>
      <c r="D424" t="s">
        <v>823</v>
      </c>
      <c r="E424" s="2" t="s">
        <v>263</v>
      </c>
      <c r="F424">
        <v>0</v>
      </c>
      <c r="AG424" s="1" t="str">
        <v>DPLUS175</v>
      </c>
      <c r="AH424" s="1">
        <v>10</v>
      </c>
      <c r="AI424" s="1">
        <v>2024</v>
      </c>
      <c r="AJ424" s="1" t="str">
        <v>Y2</v>
      </c>
      <c r="AK424" s="1" t="str">
        <v>DPLUS-D04</v>
      </c>
      <c r="AL424" s="1">
        <v>0</v>
      </c>
    </row>
    <row r="425" spans="1:38" ht="14.25" customHeight="1" x14ac:dyDescent="0.25">
      <c r="A425" t="s">
        <v>318</v>
      </c>
      <c r="B425">
        <v>10</v>
      </c>
      <c r="C425">
        <v>2023</v>
      </c>
      <c r="D425" t="s">
        <v>822</v>
      </c>
      <c r="E425" t="s">
        <v>167</v>
      </c>
      <c r="F425">
        <v>0</v>
      </c>
      <c r="AG425" s="1" t="str">
        <v>DPLUS176</v>
      </c>
      <c r="AH425" s="1">
        <v>10</v>
      </c>
      <c r="AI425" s="1">
        <v>2023</v>
      </c>
      <c r="AJ425" s="1" t="str">
        <v>Y1</v>
      </c>
      <c r="AK425" s="1" t="str">
        <v>DPLUS-A02</v>
      </c>
      <c r="AL425" s="1">
        <v>0</v>
      </c>
    </row>
    <row r="426" spans="1:38" ht="14.25" customHeight="1" x14ac:dyDescent="0.25">
      <c r="A426" t="s">
        <v>318</v>
      </c>
      <c r="B426">
        <v>10</v>
      </c>
      <c r="C426">
        <v>2024</v>
      </c>
      <c r="D426" t="s">
        <v>823</v>
      </c>
      <c r="E426" t="s">
        <v>167</v>
      </c>
      <c r="F426">
        <v>2</v>
      </c>
      <c r="AG426" s="1" t="str">
        <v>DPLUS176</v>
      </c>
      <c r="AH426" s="1">
        <v>10</v>
      </c>
      <c r="AI426" s="1">
        <v>2024</v>
      </c>
      <c r="AJ426" s="1" t="str">
        <v>Y2</v>
      </c>
      <c r="AK426" s="1" t="str">
        <v>DPLUS-A02</v>
      </c>
      <c r="AL426" s="1">
        <v>2</v>
      </c>
    </row>
    <row r="427" spans="1:38" ht="14.25" customHeight="1" x14ac:dyDescent="0.25">
      <c r="A427" t="s">
        <v>318</v>
      </c>
      <c r="B427">
        <v>10</v>
      </c>
      <c r="C427">
        <v>2023</v>
      </c>
      <c r="D427" t="s">
        <v>822</v>
      </c>
      <c r="E427" t="s">
        <v>169</v>
      </c>
      <c r="F427">
        <v>0</v>
      </c>
      <c r="AG427" s="1" t="str">
        <v>DPLUS176</v>
      </c>
      <c r="AH427" s="1">
        <v>10</v>
      </c>
      <c r="AI427" s="1">
        <v>2023</v>
      </c>
      <c r="AJ427" s="1" t="str">
        <v>Y1</v>
      </c>
      <c r="AK427" s="1" t="str">
        <v>DPLUS-A03</v>
      </c>
      <c r="AL427" s="1">
        <v>0</v>
      </c>
    </row>
    <row r="428" spans="1:38" ht="14.25" customHeight="1" x14ac:dyDescent="0.25">
      <c r="A428" t="s">
        <v>318</v>
      </c>
      <c r="B428">
        <v>10</v>
      </c>
      <c r="C428">
        <v>2024</v>
      </c>
      <c r="D428" t="s">
        <v>823</v>
      </c>
      <c r="E428" t="s">
        <v>169</v>
      </c>
      <c r="F428">
        <v>10</v>
      </c>
      <c r="AG428" s="1" t="str">
        <v>DPLUS176</v>
      </c>
      <c r="AH428" s="1">
        <v>10</v>
      </c>
      <c r="AI428" s="1">
        <v>2024</v>
      </c>
      <c r="AJ428" s="1" t="str">
        <v>Y2</v>
      </c>
      <c r="AK428" s="1" t="str">
        <v>DPLUS-A03</v>
      </c>
      <c r="AL428" s="1">
        <v>10</v>
      </c>
    </row>
    <row r="429" spans="1:38" ht="14.25" customHeight="1" x14ac:dyDescent="0.25">
      <c r="A429" t="s">
        <v>318</v>
      </c>
      <c r="B429">
        <v>10</v>
      </c>
      <c r="C429">
        <v>2023</v>
      </c>
      <c r="D429" t="s">
        <v>822</v>
      </c>
      <c r="E429" t="s">
        <v>188</v>
      </c>
      <c r="F429">
        <v>0</v>
      </c>
      <c r="AG429" s="1" t="str">
        <v>DPLUS176</v>
      </c>
      <c r="AH429" s="1">
        <v>10</v>
      </c>
      <c r="AI429" s="1">
        <v>2023</v>
      </c>
      <c r="AJ429" s="1" t="str">
        <v>Y1</v>
      </c>
      <c r="AK429" s="1" t="str">
        <v>DPLUS-B01</v>
      </c>
      <c r="AL429" s="1">
        <v>0</v>
      </c>
    </row>
    <row r="430" spans="1:38" ht="14.25" customHeight="1" x14ac:dyDescent="0.25">
      <c r="A430" t="s">
        <v>318</v>
      </c>
      <c r="B430">
        <v>10</v>
      </c>
      <c r="C430">
        <v>2024</v>
      </c>
      <c r="D430" t="s">
        <v>823</v>
      </c>
      <c r="E430" t="s">
        <v>188</v>
      </c>
      <c r="F430">
        <v>0</v>
      </c>
      <c r="AG430" s="1" t="str">
        <v>DPLUS176</v>
      </c>
      <c r="AH430" s="1">
        <v>10</v>
      </c>
      <c r="AI430" s="1">
        <v>2024</v>
      </c>
      <c r="AJ430" s="1" t="str">
        <v>Y2</v>
      </c>
      <c r="AK430" s="1" t="str">
        <v>DPLUS-B01</v>
      </c>
      <c r="AL430" s="1">
        <v>0</v>
      </c>
    </row>
    <row r="431" spans="1:38" ht="14.25" customHeight="1" x14ac:dyDescent="0.25">
      <c r="A431" t="s">
        <v>318</v>
      </c>
      <c r="B431">
        <v>10</v>
      </c>
      <c r="C431">
        <v>2023</v>
      </c>
      <c r="D431" t="s">
        <v>822</v>
      </c>
      <c r="E431" t="s">
        <v>195</v>
      </c>
      <c r="F431">
        <v>0</v>
      </c>
      <c r="AG431" s="1" t="str">
        <v>DPLUS176</v>
      </c>
      <c r="AH431" s="1">
        <v>10</v>
      </c>
      <c r="AI431" s="1">
        <v>2023</v>
      </c>
      <c r="AJ431" s="1" t="str">
        <v>Y1</v>
      </c>
      <c r="AK431" s="1" t="str">
        <v>DPLUS-B04</v>
      </c>
      <c r="AL431" s="1">
        <v>0</v>
      </c>
    </row>
    <row r="432" spans="1:38" ht="14.25" customHeight="1" x14ac:dyDescent="0.25">
      <c r="A432" t="s">
        <v>318</v>
      </c>
      <c r="B432">
        <v>10</v>
      </c>
      <c r="C432">
        <v>2024</v>
      </c>
      <c r="D432" t="s">
        <v>823</v>
      </c>
      <c r="E432" t="s">
        <v>195</v>
      </c>
      <c r="F432">
        <v>0</v>
      </c>
      <c r="AG432" s="1" t="str">
        <v>DPLUS176</v>
      </c>
      <c r="AH432" s="1">
        <v>10</v>
      </c>
      <c r="AI432" s="1">
        <v>2024</v>
      </c>
      <c r="AJ432" s="1" t="str">
        <v>Y2</v>
      </c>
      <c r="AK432" s="1" t="str">
        <v>DPLUS-B04</v>
      </c>
      <c r="AL432" s="1">
        <v>0</v>
      </c>
    </row>
    <row r="433" spans="1:38" ht="14.25" customHeight="1" x14ac:dyDescent="0.25">
      <c r="A433" t="s">
        <v>318</v>
      </c>
      <c r="B433">
        <v>10</v>
      </c>
      <c r="C433">
        <v>2023</v>
      </c>
      <c r="D433" t="s">
        <v>822</v>
      </c>
      <c r="E433" t="s">
        <v>215</v>
      </c>
      <c r="F433">
        <v>0</v>
      </c>
      <c r="AG433" s="1" t="str">
        <v>DPLUS176</v>
      </c>
      <c r="AH433" s="1">
        <v>10</v>
      </c>
      <c r="AI433" s="1">
        <v>2023</v>
      </c>
      <c r="AJ433" s="1" t="str">
        <v>Y1</v>
      </c>
      <c r="AK433" s="1" t="str">
        <v>DPLUS-C01</v>
      </c>
      <c r="AL433" s="1">
        <v>0</v>
      </c>
    </row>
    <row r="434" spans="1:38" ht="14.25" customHeight="1" x14ac:dyDescent="0.25">
      <c r="A434" t="s">
        <v>318</v>
      </c>
      <c r="B434">
        <v>10</v>
      </c>
      <c r="C434">
        <v>2024</v>
      </c>
      <c r="D434" t="s">
        <v>823</v>
      </c>
      <c r="E434" t="s">
        <v>215</v>
      </c>
      <c r="F434">
        <v>1</v>
      </c>
      <c r="AG434" s="1" t="str">
        <v>DPLUS176</v>
      </c>
      <c r="AH434" s="1">
        <v>10</v>
      </c>
      <c r="AI434" s="1">
        <v>2024</v>
      </c>
      <c r="AJ434" s="1" t="str">
        <v>Y2</v>
      </c>
      <c r="AK434" s="1" t="str">
        <v>DPLUS-C01</v>
      </c>
      <c r="AL434" s="1">
        <v>1</v>
      </c>
    </row>
    <row r="435" spans="1:38" ht="14.25" customHeight="1" x14ac:dyDescent="0.25">
      <c r="A435" t="s">
        <v>318</v>
      </c>
      <c r="B435">
        <v>10</v>
      </c>
      <c r="C435">
        <v>2023</v>
      </c>
      <c r="D435" t="s">
        <v>822</v>
      </c>
      <c r="E435" t="s">
        <v>223</v>
      </c>
      <c r="F435">
        <v>0</v>
      </c>
      <c r="AG435" s="1" t="str">
        <v>DPLUS176</v>
      </c>
      <c r="AH435" s="1">
        <v>10</v>
      </c>
      <c r="AI435" s="1">
        <v>2023</v>
      </c>
      <c r="AJ435" s="1" t="str">
        <v>Y1</v>
      </c>
      <c r="AK435" s="1" t="str">
        <v>DPLUS-C05</v>
      </c>
      <c r="AL435" s="1">
        <v>0</v>
      </c>
    </row>
    <row r="436" spans="1:38" ht="14.25" customHeight="1" x14ac:dyDescent="0.25">
      <c r="A436" t="s">
        <v>318</v>
      </c>
      <c r="B436">
        <v>10</v>
      </c>
      <c r="C436">
        <v>2024</v>
      </c>
      <c r="D436" t="s">
        <v>823</v>
      </c>
      <c r="E436" t="s">
        <v>223</v>
      </c>
      <c r="F436">
        <v>3</v>
      </c>
      <c r="AG436" s="1" t="str">
        <v>DPLUS176</v>
      </c>
      <c r="AH436" s="1">
        <v>10</v>
      </c>
      <c r="AI436" s="1">
        <v>2024</v>
      </c>
      <c r="AJ436" s="1" t="str">
        <v>Y2</v>
      </c>
      <c r="AK436" s="1" t="str">
        <v>DPLUS-C05</v>
      </c>
      <c r="AL436" s="1">
        <v>3</v>
      </c>
    </row>
    <row r="437" spans="1:38" ht="14.25" customHeight="1" x14ac:dyDescent="0.25">
      <c r="A437" t="s">
        <v>318</v>
      </c>
      <c r="B437">
        <v>10</v>
      </c>
      <c r="C437">
        <v>2023</v>
      </c>
      <c r="D437" t="s">
        <v>822</v>
      </c>
      <c r="E437" t="s">
        <v>261</v>
      </c>
      <c r="F437">
        <v>0</v>
      </c>
      <c r="AG437" s="1" t="str">
        <v>DPLUS176</v>
      </c>
      <c r="AH437" s="1">
        <v>10</v>
      </c>
      <c r="AI437" s="1">
        <v>2023</v>
      </c>
      <c r="AJ437" s="1" t="str">
        <v>Y1</v>
      </c>
      <c r="AK437" s="1" t="str">
        <v>DPLUS-D03</v>
      </c>
      <c r="AL437" s="1">
        <v>0</v>
      </c>
    </row>
    <row r="438" spans="1:38" ht="14.25" customHeight="1" x14ac:dyDescent="0.25">
      <c r="A438" t="s">
        <v>318</v>
      </c>
      <c r="B438">
        <v>10</v>
      </c>
      <c r="C438">
        <v>2024</v>
      </c>
      <c r="D438" t="s">
        <v>823</v>
      </c>
      <c r="E438" t="s">
        <v>261</v>
      </c>
      <c r="F438">
        <v>0</v>
      </c>
      <c r="AG438" s="1" t="str">
        <v>DPLUS176</v>
      </c>
      <c r="AH438" s="1">
        <v>10</v>
      </c>
      <c r="AI438" s="1">
        <v>2024</v>
      </c>
      <c r="AJ438" s="1" t="str">
        <v>Y2</v>
      </c>
      <c r="AK438" s="1" t="str">
        <v>DPLUS-D03</v>
      </c>
      <c r="AL438" s="1">
        <v>0</v>
      </c>
    </row>
    <row r="439" spans="1:38" ht="14.25" customHeight="1" x14ac:dyDescent="0.25">
      <c r="A439" t="s">
        <v>319</v>
      </c>
      <c r="B439">
        <v>10</v>
      </c>
      <c r="C439">
        <v>2023</v>
      </c>
      <c r="D439" t="s">
        <v>822</v>
      </c>
      <c r="E439" t="s">
        <v>164</v>
      </c>
      <c r="F439">
        <v>0</v>
      </c>
      <c r="AG439" s="1" t="str">
        <v>DPLUS177</v>
      </c>
      <c r="AH439" s="1">
        <v>10</v>
      </c>
      <c r="AI439" s="1">
        <v>2023</v>
      </c>
      <c r="AJ439" s="1" t="str">
        <v>Y1</v>
      </c>
      <c r="AK439" s="1" t="str">
        <v>DPLUS-A01</v>
      </c>
      <c r="AL439" s="1">
        <v>0</v>
      </c>
    </row>
    <row r="440" spans="1:38" ht="14.25" customHeight="1" x14ac:dyDescent="0.25">
      <c r="A440" t="s">
        <v>319</v>
      </c>
      <c r="B440">
        <v>10</v>
      </c>
      <c r="C440">
        <v>2024</v>
      </c>
      <c r="D440" t="s">
        <v>823</v>
      </c>
      <c r="E440" t="s">
        <v>164</v>
      </c>
      <c r="F440">
        <v>0</v>
      </c>
      <c r="AG440" s="1" t="str">
        <v>DPLUS177</v>
      </c>
      <c r="AH440" s="1">
        <v>10</v>
      </c>
      <c r="AI440" s="1">
        <v>2024</v>
      </c>
      <c r="AJ440" s="1" t="str">
        <v>Y2</v>
      </c>
      <c r="AK440" s="1" t="str">
        <v>DPLUS-A01</v>
      </c>
      <c r="AL440" s="1">
        <v>0</v>
      </c>
    </row>
    <row r="441" spans="1:38" ht="14.25" customHeight="1" x14ac:dyDescent="0.25">
      <c r="A441" t="s">
        <v>319</v>
      </c>
      <c r="B441">
        <v>10</v>
      </c>
      <c r="C441">
        <v>2023</v>
      </c>
      <c r="D441" t="s">
        <v>822</v>
      </c>
      <c r="E441" t="s">
        <v>169</v>
      </c>
      <c r="F441">
        <v>1</v>
      </c>
      <c r="AG441" s="1" t="str">
        <v>DPLUS177</v>
      </c>
      <c r="AH441" s="1">
        <v>10</v>
      </c>
      <c r="AI441" s="1">
        <v>2023</v>
      </c>
      <c r="AJ441" s="1" t="str">
        <v>Y1</v>
      </c>
      <c r="AK441" s="1" t="str">
        <v>DPLUS-A03</v>
      </c>
      <c r="AL441" s="1">
        <v>1</v>
      </c>
    </row>
    <row r="442" spans="1:38" ht="14.25" customHeight="1" x14ac:dyDescent="0.25">
      <c r="A442" t="s">
        <v>319</v>
      </c>
      <c r="B442">
        <v>10</v>
      </c>
      <c r="C442">
        <v>2024</v>
      </c>
      <c r="D442" t="s">
        <v>823</v>
      </c>
      <c r="E442" t="s">
        <v>169</v>
      </c>
      <c r="F442">
        <v>0</v>
      </c>
      <c r="AG442" s="1" t="str">
        <v>DPLUS177</v>
      </c>
      <c r="AH442" s="1">
        <v>10</v>
      </c>
      <c r="AI442" s="1">
        <v>2024</v>
      </c>
      <c r="AJ442" s="1" t="str">
        <v>Y2</v>
      </c>
      <c r="AK442" s="1" t="str">
        <v>DPLUS-A03</v>
      </c>
      <c r="AL442" s="1">
        <v>0</v>
      </c>
    </row>
    <row r="443" spans="1:38" ht="14.25" customHeight="1" x14ac:dyDescent="0.25">
      <c r="A443" t="s">
        <v>319</v>
      </c>
      <c r="B443">
        <v>10</v>
      </c>
      <c r="C443">
        <v>2023</v>
      </c>
      <c r="D443" t="s">
        <v>822</v>
      </c>
      <c r="E443" t="s">
        <v>171</v>
      </c>
      <c r="F443">
        <v>0</v>
      </c>
      <c r="AG443" s="1" t="str">
        <v>DPLUS177</v>
      </c>
      <c r="AH443" s="1">
        <v>10</v>
      </c>
      <c r="AI443" s="1">
        <v>2023</v>
      </c>
      <c r="AJ443" s="1" t="str">
        <v>Y1</v>
      </c>
      <c r="AK443" s="1" t="str">
        <v>DPLUS-A04</v>
      </c>
      <c r="AL443" s="1">
        <v>0</v>
      </c>
    </row>
    <row r="444" spans="1:38" ht="14.25" customHeight="1" x14ac:dyDescent="0.25">
      <c r="A444" t="s">
        <v>319</v>
      </c>
      <c r="B444">
        <v>10</v>
      </c>
      <c r="C444">
        <v>2024</v>
      </c>
      <c r="D444" t="s">
        <v>823</v>
      </c>
      <c r="E444" t="s">
        <v>171</v>
      </c>
      <c r="F444">
        <v>0</v>
      </c>
      <c r="AG444" s="1" t="str">
        <v>DPLUS177</v>
      </c>
      <c r="AH444" s="1">
        <v>10</v>
      </c>
      <c r="AI444" s="1">
        <v>2024</v>
      </c>
      <c r="AJ444" s="1" t="str">
        <v>Y2</v>
      </c>
      <c r="AK444" s="1" t="str">
        <v>DPLUS-A04</v>
      </c>
      <c r="AL444" s="1">
        <v>0</v>
      </c>
    </row>
    <row r="445" spans="1:38" ht="14.25" customHeight="1" x14ac:dyDescent="0.25">
      <c r="A445" t="s">
        <v>319</v>
      </c>
      <c r="B445">
        <v>10</v>
      </c>
      <c r="C445">
        <v>2023</v>
      </c>
      <c r="D445" t="s">
        <v>822</v>
      </c>
      <c r="E445" t="s">
        <v>197</v>
      </c>
      <c r="F445">
        <v>0</v>
      </c>
      <c r="AG445" s="1" t="str">
        <v>DPLUS177</v>
      </c>
      <c r="AH445" s="1">
        <v>10</v>
      </c>
      <c r="AI445" s="1">
        <v>2023</v>
      </c>
      <c r="AJ445" s="1" t="str">
        <v>Y1</v>
      </c>
      <c r="AK445" s="1" t="str">
        <v>DPLUS-B05</v>
      </c>
      <c r="AL445" s="1">
        <v>0</v>
      </c>
    </row>
    <row r="446" spans="1:38" ht="14.25" customHeight="1" x14ac:dyDescent="0.25">
      <c r="A446" t="s">
        <v>319</v>
      </c>
      <c r="B446">
        <v>10</v>
      </c>
      <c r="C446">
        <v>2024</v>
      </c>
      <c r="D446" t="s">
        <v>823</v>
      </c>
      <c r="E446" t="s">
        <v>197</v>
      </c>
      <c r="F446">
        <v>10</v>
      </c>
      <c r="AG446" s="1" t="str">
        <v>DPLUS177</v>
      </c>
      <c r="AH446" s="1">
        <v>10</v>
      </c>
      <c r="AI446" s="1">
        <v>2024</v>
      </c>
      <c r="AJ446" s="1" t="str">
        <v>Y2</v>
      </c>
      <c r="AK446" s="1" t="str">
        <v>DPLUS-B05</v>
      </c>
      <c r="AL446" s="1">
        <v>10</v>
      </c>
    </row>
    <row r="447" spans="1:38" ht="14.25" customHeight="1" x14ac:dyDescent="0.25">
      <c r="A447" t="s">
        <v>319</v>
      </c>
      <c r="B447">
        <v>10</v>
      </c>
      <c r="C447">
        <v>2023</v>
      </c>
      <c r="D447" t="s">
        <v>822</v>
      </c>
      <c r="E447" t="s">
        <v>217</v>
      </c>
      <c r="F447">
        <v>0</v>
      </c>
      <c r="AG447" s="1" t="str">
        <v>DPLUS177</v>
      </c>
      <c r="AH447" s="1">
        <v>10</v>
      </c>
      <c r="AI447" s="1">
        <v>2023</v>
      </c>
      <c r="AJ447" s="1" t="str">
        <v>Y1</v>
      </c>
      <c r="AK447" s="1" t="str">
        <v>DPLUS-C02</v>
      </c>
      <c r="AL447" s="1">
        <v>0</v>
      </c>
    </row>
    <row r="448" spans="1:38" ht="14.25" customHeight="1" x14ac:dyDescent="0.25">
      <c r="A448" t="s">
        <v>319</v>
      </c>
      <c r="B448">
        <v>10</v>
      </c>
      <c r="C448">
        <v>2024</v>
      </c>
      <c r="D448" t="s">
        <v>823</v>
      </c>
      <c r="E448" t="s">
        <v>217</v>
      </c>
      <c r="F448">
        <v>12</v>
      </c>
      <c r="AG448" s="1" t="str">
        <v>DPLUS177</v>
      </c>
      <c r="AH448" s="1">
        <v>10</v>
      </c>
      <c r="AI448" s="1">
        <v>2024</v>
      </c>
      <c r="AJ448" s="1" t="str">
        <v>Y2</v>
      </c>
      <c r="AK448" s="1" t="str">
        <v>DPLUS-C02</v>
      </c>
      <c r="AL448" s="1">
        <v>12</v>
      </c>
    </row>
    <row r="449" spans="1:38" ht="14.25" customHeight="1" x14ac:dyDescent="0.25">
      <c r="A449" t="s">
        <v>320</v>
      </c>
      <c r="B449">
        <v>10</v>
      </c>
      <c r="C449">
        <v>2023</v>
      </c>
      <c r="D449" t="s">
        <v>822</v>
      </c>
      <c r="E449" s="2" t="s">
        <v>164</v>
      </c>
      <c r="F449">
        <v>0</v>
      </c>
      <c r="AG449" s="1" t="str">
        <v>DPLUS178</v>
      </c>
      <c r="AH449" s="1">
        <v>10</v>
      </c>
      <c r="AI449" s="1">
        <v>2023</v>
      </c>
      <c r="AJ449" s="1" t="str">
        <v>Y1</v>
      </c>
      <c r="AK449" s="1" t="str">
        <v>DPLUS-A01</v>
      </c>
      <c r="AL449" s="1">
        <v>0</v>
      </c>
    </row>
    <row r="450" spans="1:38" ht="14.25" customHeight="1" x14ac:dyDescent="0.25">
      <c r="A450" t="s">
        <v>320</v>
      </c>
      <c r="B450">
        <v>10</v>
      </c>
      <c r="C450">
        <v>2024</v>
      </c>
      <c r="D450" t="s">
        <v>823</v>
      </c>
      <c r="E450" s="2" t="s">
        <v>164</v>
      </c>
      <c r="F450">
        <v>0</v>
      </c>
      <c r="AG450" s="1" t="str">
        <v>DPLUS178</v>
      </c>
      <c r="AH450" s="1">
        <v>10</v>
      </c>
      <c r="AI450" s="1">
        <v>2024</v>
      </c>
      <c r="AJ450" s="1" t="str">
        <v>Y2</v>
      </c>
      <c r="AK450" s="1" t="str">
        <v>DPLUS-A01</v>
      </c>
      <c r="AL450" s="1">
        <v>0</v>
      </c>
    </row>
    <row r="451" spans="1:38" ht="14.25" customHeight="1" x14ac:dyDescent="0.25">
      <c r="A451" t="s">
        <v>320</v>
      </c>
      <c r="B451">
        <v>10</v>
      </c>
      <c r="C451">
        <v>2023</v>
      </c>
      <c r="D451" t="s">
        <v>822</v>
      </c>
      <c r="E451" s="2" t="s">
        <v>190</v>
      </c>
      <c r="F451">
        <v>0</v>
      </c>
      <c r="AG451" s="1" t="str">
        <v>DPLUS178</v>
      </c>
      <c r="AH451" s="1">
        <v>10</v>
      </c>
      <c r="AI451" s="1">
        <v>2023</v>
      </c>
      <c r="AJ451" s="1" t="str">
        <v>Y1</v>
      </c>
      <c r="AK451" s="1" t="str">
        <v>DPLUS-B02</v>
      </c>
      <c r="AL451" s="1">
        <v>0</v>
      </c>
    </row>
    <row r="452" spans="1:38" ht="14.25" customHeight="1" x14ac:dyDescent="0.25">
      <c r="A452" t="s">
        <v>320</v>
      </c>
      <c r="B452">
        <v>10</v>
      </c>
      <c r="C452">
        <v>2024</v>
      </c>
      <c r="D452" t="s">
        <v>823</v>
      </c>
      <c r="E452" s="2" t="s">
        <v>190</v>
      </c>
      <c r="F452">
        <v>0</v>
      </c>
      <c r="AG452" s="1" t="str">
        <v>DPLUS178</v>
      </c>
      <c r="AH452" s="1">
        <v>10</v>
      </c>
      <c r="AI452" s="1">
        <v>2024</v>
      </c>
      <c r="AJ452" s="1" t="str">
        <v>Y2</v>
      </c>
      <c r="AK452" s="1" t="str">
        <v>DPLUS-B02</v>
      </c>
      <c r="AL452" s="1">
        <v>0</v>
      </c>
    </row>
    <row r="453" spans="1:38" ht="14.25" customHeight="1" x14ac:dyDescent="0.25">
      <c r="A453" t="s">
        <v>320</v>
      </c>
      <c r="B453">
        <v>10</v>
      </c>
      <c r="C453">
        <v>2023</v>
      </c>
      <c r="D453" t="s">
        <v>822</v>
      </c>
      <c r="E453" s="2" t="s">
        <v>197</v>
      </c>
      <c r="F453">
        <v>0</v>
      </c>
      <c r="AG453" s="1" t="str">
        <v>DPLUS178</v>
      </c>
      <c r="AH453" s="1">
        <v>10</v>
      </c>
      <c r="AI453" s="1">
        <v>2023</v>
      </c>
      <c r="AJ453" s="1" t="str">
        <v>Y1</v>
      </c>
      <c r="AK453" s="1" t="str">
        <v>DPLUS-B05</v>
      </c>
      <c r="AL453" s="1">
        <v>0</v>
      </c>
    </row>
    <row r="454" spans="1:38" ht="14.25" customHeight="1" x14ac:dyDescent="0.25">
      <c r="A454" t="s">
        <v>320</v>
      </c>
      <c r="B454">
        <v>10</v>
      </c>
      <c r="C454">
        <v>2024</v>
      </c>
      <c r="D454" t="s">
        <v>823</v>
      </c>
      <c r="E454" s="2" t="s">
        <v>197</v>
      </c>
      <c r="F454">
        <v>0</v>
      </c>
      <c r="AG454" s="1" t="str">
        <v>DPLUS178</v>
      </c>
      <c r="AH454" s="1">
        <v>10</v>
      </c>
      <c r="AI454" s="1">
        <v>2024</v>
      </c>
      <c r="AJ454" s="1" t="str">
        <v>Y2</v>
      </c>
      <c r="AK454" s="1" t="str">
        <v>DPLUS-B05</v>
      </c>
      <c r="AL454" s="1">
        <v>0</v>
      </c>
    </row>
    <row r="455" spans="1:38" ht="14.25" customHeight="1" x14ac:dyDescent="0.25">
      <c r="A455" t="s">
        <v>320</v>
      </c>
      <c r="B455">
        <v>10</v>
      </c>
      <c r="C455">
        <v>2023</v>
      </c>
      <c r="D455" t="s">
        <v>822</v>
      </c>
      <c r="E455" t="s">
        <v>223</v>
      </c>
      <c r="F455">
        <v>1</v>
      </c>
      <c r="AG455" s="1" t="str">
        <v>DPLUS178</v>
      </c>
      <c r="AH455" s="1">
        <v>10</v>
      </c>
      <c r="AI455" s="1">
        <v>2023</v>
      </c>
      <c r="AJ455" s="1" t="str">
        <v>Y1</v>
      </c>
      <c r="AK455" s="1" t="str">
        <v>DPLUS-C05</v>
      </c>
      <c r="AL455" s="1">
        <v>1</v>
      </c>
    </row>
    <row r="456" spans="1:38" ht="14.25" customHeight="1" x14ac:dyDescent="0.25">
      <c r="A456" t="s">
        <v>320</v>
      </c>
      <c r="B456">
        <v>10</v>
      </c>
      <c r="C456">
        <v>2024</v>
      </c>
      <c r="D456" t="s">
        <v>823</v>
      </c>
      <c r="E456" t="s">
        <v>223</v>
      </c>
      <c r="F456">
        <v>0</v>
      </c>
      <c r="AG456" s="1" t="str">
        <v>DPLUS178</v>
      </c>
      <c r="AH456" s="1">
        <v>10</v>
      </c>
      <c r="AI456" s="1">
        <v>2024</v>
      </c>
      <c r="AJ456" s="1" t="str">
        <v>Y2</v>
      </c>
      <c r="AK456" s="1" t="str">
        <v>DPLUS-C05</v>
      </c>
      <c r="AL456" s="1">
        <v>0</v>
      </c>
    </row>
    <row r="457" spans="1:38" ht="14.25" customHeight="1" x14ac:dyDescent="0.25">
      <c r="A457" t="s">
        <v>320</v>
      </c>
      <c r="B457">
        <v>10</v>
      </c>
      <c r="C457">
        <v>2023</v>
      </c>
      <c r="D457" t="s">
        <v>822</v>
      </c>
      <c r="E457" t="s">
        <v>250</v>
      </c>
      <c r="F457">
        <v>0</v>
      </c>
      <c r="AG457" s="1" t="str">
        <v>DPLUS178</v>
      </c>
      <c r="AH457" s="1">
        <v>10</v>
      </c>
      <c r="AI457" s="1">
        <v>2023</v>
      </c>
      <c r="AJ457" s="1" t="str">
        <v>Y1</v>
      </c>
      <c r="AK457" s="1" t="str">
        <v>DPLUS-C17</v>
      </c>
      <c r="AL457" s="1">
        <v>0</v>
      </c>
    </row>
    <row r="458" spans="1:38" ht="14.25" customHeight="1" x14ac:dyDescent="0.25">
      <c r="A458" t="s">
        <v>320</v>
      </c>
      <c r="B458">
        <v>10</v>
      </c>
      <c r="C458">
        <v>2024</v>
      </c>
      <c r="D458" t="s">
        <v>823</v>
      </c>
      <c r="E458" t="s">
        <v>250</v>
      </c>
      <c r="F458">
        <v>0</v>
      </c>
      <c r="AG458" s="1" t="str">
        <v>DPLUS178</v>
      </c>
      <c r="AH458" s="1">
        <v>10</v>
      </c>
      <c r="AI458" s="1">
        <v>2024</v>
      </c>
      <c r="AJ458" s="1" t="str">
        <v>Y2</v>
      </c>
      <c r="AK458" s="1" t="str">
        <v>DPLUS-C17</v>
      </c>
      <c r="AL458" s="1">
        <v>0</v>
      </c>
    </row>
    <row r="459" spans="1:38" ht="14.25" customHeight="1" x14ac:dyDescent="0.25">
      <c r="A459" t="s">
        <v>321</v>
      </c>
      <c r="B459">
        <v>10</v>
      </c>
      <c r="C459">
        <v>2023</v>
      </c>
      <c r="D459" t="s">
        <v>822</v>
      </c>
      <c r="E459" s="2" t="s">
        <v>169</v>
      </c>
      <c r="F459">
        <v>0</v>
      </c>
      <c r="AG459" s="1" t="str">
        <v>DPLUS179</v>
      </c>
      <c r="AH459" s="1">
        <v>10</v>
      </c>
      <c r="AI459" s="1">
        <v>2023</v>
      </c>
      <c r="AJ459" s="1" t="str">
        <v>Y1</v>
      </c>
      <c r="AK459" s="1" t="str">
        <v>DPLUS-A03</v>
      </c>
      <c r="AL459" s="1">
        <v>0</v>
      </c>
    </row>
    <row r="460" spans="1:38" ht="14.25" customHeight="1" x14ac:dyDescent="0.25">
      <c r="A460" t="s">
        <v>321</v>
      </c>
      <c r="B460">
        <v>10</v>
      </c>
      <c r="C460">
        <v>2024</v>
      </c>
      <c r="D460" t="s">
        <v>823</v>
      </c>
      <c r="E460" s="2" t="s">
        <v>169</v>
      </c>
      <c r="F460">
        <v>1</v>
      </c>
      <c r="AG460" s="1" t="str">
        <v>DPLUS179</v>
      </c>
      <c r="AH460" s="1">
        <v>10</v>
      </c>
      <c r="AI460" s="1">
        <v>2024</v>
      </c>
      <c r="AJ460" s="1" t="str">
        <v>Y2</v>
      </c>
      <c r="AK460" s="1" t="str">
        <v>DPLUS-A03</v>
      </c>
      <c r="AL460" s="1">
        <v>1</v>
      </c>
    </row>
    <row r="461" spans="1:38" ht="14.25" customHeight="1" x14ac:dyDescent="0.25">
      <c r="A461" t="s">
        <v>321</v>
      </c>
      <c r="B461">
        <v>10</v>
      </c>
      <c r="C461">
        <v>2023</v>
      </c>
      <c r="D461" t="s">
        <v>822</v>
      </c>
      <c r="E461" s="3" t="s">
        <v>215</v>
      </c>
      <c r="F461">
        <v>0</v>
      </c>
      <c r="AG461" s="1" t="str">
        <v>DPLUS179</v>
      </c>
      <c r="AH461" s="1">
        <v>10</v>
      </c>
      <c r="AI461" s="1">
        <v>2023</v>
      </c>
      <c r="AJ461" s="1" t="str">
        <v>Y1</v>
      </c>
      <c r="AK461" s="1" t="str">
        <v>DPLUS-C01</v>
      </c>
      <c r="AL461" s="1">
        <v>0</v>
      </c>
    </row>
    <row r="462" spans="1:38" ht="14.25" customHeight="1" x14ac:dyDescent="0.25">
      <c r="A462" t="s">
        <v>321</v>
      </c>
      <c r="B462">
        <v>10</v>
      </c>
      <c r="C462">
        <v>2024</v>
      </c>
      <c r="D462" t="s">
        <v>823</v>
      </c>
      <c r="E462" s="3" t="s">
        <v>215</v>
      </c>
      <c r="F462">
        <v>3</v>
      </c>
      <c r="AG462" s="1" t="str">
        <v>DPLUS179</v>
      </c>
      <c r="AH462" s="1">
        <v>10</v>
      </c>
      <c r="AI462" s="1">
        <v>2024</v>
      </c>
      <c r="AJ462" s="1" t="str">
        <v>Y2</v>
      </c>
      <c r="AK462" s="1" t="str">
        <v>DPLUS-C01</v>
      </c>
      <c r="AL462" s="1">
        <v>3</v>
      </c>
    </row>
    <row r="463" spans="1:38" ht="14.25" customHeight="1" x14ac:dyDescent="0.25">
      <c r="A463" t="s">
        <v>321</v>
      </c>
      <c r="B463">
        <v>10</v>
      </c>
      <c r="C463">
        <v>2023</v>
      </c>
      <c r="D463" t="s">
        <v>822</v>
      </c>
      <c r="E463" s="2" t="s">
        <v>217</v>
      </c>
      <c r="F463">
        <v>0</v>
      </c>
      <c r="AG463" s="1" t="str">
        <v>DPLUS179</v>
      </c>
      <c r="AH463" s="1">
        <v>10</v>
      </c>
      <c r="AI463" s="1">
        <v>2023</v>
      </c>
      <c r="AJ463" s="1" t="str">
        <v>Y1</v>
      </c>
      <c r="AK463" s="1" t="str">
        <v>DPLUS-C02</v>
      </c>
      <c r="AL463" s="1">
        <v>0</v>
      </c>
    </row>
    <row r="464" spans="1:38" ht="14.25" customHeight="1" x14ac:dyDescent="0.25">
      <c r="A464" t="s">
        <v>321</v>
      </c>
      <c r="B464">
        <v>10</v>
      </c>
      <c r="C464">
        <v>2024</v>
      </c>
      <c r="D464" t="s">
        <v>823</v>
      </c>
      <c r="E464" s="2" t="s">
        <v>217</v>
      </c>
      <c r="F464">
        <v>0</v>
      </c>
      <c r="AG464" s="1" t="str">
        <v>DPLUS179</v>
      </c>
      <c r="AH464" s="1">
        <v>10</v>
      </c>
      <c r="AI464" s="1">
        <v>2024</v>
      </c>
      <c r="AJ464" s="1" t="str">
        <v>Y2</v>
      </c>
      <c r="AK464" s="1" t="str">
        <v>DPLUS-C02</v>
      </c>
      <c r="AL464" s="1">
        <v>0</v>
      </c>
    </row>
    <row r="465" spans="1:38" ht="14.25" customHeight="1" x14ac:dyDescent="0.25">
      <c r="A465" t="s">
        <v>321</v>
      </c>
      <c r="B465">
        <v>10</v>
      </c>
      <c r="C465">
        <v>2023</v>
      </c>
      <c r="D465" t="s">
        <v>822</v>
      </c>
      <c r="E465" s="2" t="s">
        <v>219</v>
      </c>
      <c r="F465">
        <v>0</v>
      </c>
      <c r="AG465" s="1" t="str">
        <v>DPLUS179</v>
      </c>
      <c r="AH465" s="1">
        <v>10</v>
      </c>
      <c r="AI465" s="1">
        <v>2023</v>
      </c>
      <c r="AJ465" s="1" t="str">
        <v>Y1</v>
      </c>
      <c r="AK465" s="1" t="str">
        <v>DPLUS-C03</v>
      </c>
      <c r="AL465" s="1">
        <v>0</v>
      </c>
    </row>
    <row r="466" spans="1:38" ht="14.25" customHeight="1" x14ac:dyDescent="0.25">
      <c r="A466" t="s">
        <v>321</v>
      </c>
      <c r="B466">
        <v>10</v>
      </c>
      <c r="C466">
        <v>2024</v>
      </c>
      <c r="D466" t="s">
        <v>823</v>
      </c>
      <c r="E466" s="2" t="s">
        <v>219</v>
      </c>
      <c r="F466">
        <v>0</v>
      </c>
      <c r="AG466" s="1" t="str">
        <v>DPLUS179</v>
      </c>
      <c r="AH466" s="1">
        <v>10</v>
      </c>
      <c r="AI466" s="1">
        <v>2024</v>
      </c>
      <c r="AJ466" s="1" t="str">
        <v>Y2</v>
      </c>
      <c r="AK466" s="1" t="str">
        <v>DPLUS-C03</v>
      </c>
      <c r="AL466" s="1">
        <v>0</v>
      </c>
    </row>
    <row r="467" spans="1:38" ht="14.25" customHeight="1" x14ac:dyDescent="0.25">
      <c r="A467" t="s">
        <v>321</v>
      </c>
      <c r="B467">
        <v>10</v>
      </c>
      <c r="C467">
        <v>2023</v>
      </c>
      <c r="D467" t="s">
        <v>822</v>
      </c>
      <c r="E467" s="2" t="s">
        <v>827</v>
      </c>
      <c r="F467">
        <v>0</v>
      </c>
      <c r="AG467" s="1" t="str">
        <v>DPLUS179</v>
      </c>
      <c r="AH467" s="1">
        <v>10</v>
      </c>
      <c r="AI467" s="1">
        <v>2023</v>
      </c>
      <c r="AJ467" s="1" t="str">
        <v>Y1</v>
      </c>
      <c r="AK467" s="1" t="str">
        <v>DPLUS-C05 </v>
      </c>
      <c r="AL467" s="1">
        <v>0</v>
      </c>
    </row>
    <row r="468" spans="1:38" ht="14.25" customHeight="1" x14ac:dyDescent="0.25">
      <c r="A468" t="s">
        <v>321</v>
      </c>
      <c r="B468">
        <v>10</v>
      </c>
      <c r="C468">
        <v>2024</v>
      </c>
      <c r="D468" t="s">
        <v>823</v>
      </c>
      <c r="E468" s="2" t="s">
        <v>827</v>
      </c>
      <c r="F468">
        <v>0</v>
      </c>
      <c r="AG468" s="1" t="str">
        <v>DPLUS179</v>
      </c>
      <c r="AH468" s="1">
        <v>10</v>
      </c>
      <c r="AI468" s="1">
        <v>2024</v>
      </c>
      <c r="AJ468" s="1" t="str">
        <v>Y2</v>
      </c>
      <c r="AK468" s="1" t="str">
        <v>DPLUS-C05 </v>
      </c>
      <c r="AL468" s="1">
        <v>0</v>
      </c>
    </row>
    <row r="469" spans="1:38" ht="14.25" customHeight="1" x14ac:dyDescent="0.25">
      <c r="A469" t="s">
        <v>118</v>
      </c>
      <c r="B469">
        <v>10</v>
      </c>
      <c r="C469">
        <v>2023</v>
      </c>
      <c r="D469" t="s">
        <v>822</v>
      </c>
      <c r="E469" t="s">
        <v>164</v>
      </c>
      <c r="F469">
        <v>20</v>
      </c>
      <c r="AG469" s="1" t="str">
        <v>DPLUS180</v>
      </c>
      <c r="AH469" s="1">
        <v>10</v>
      </c>
      <c r="AI469" s="1">
        <v>2023</v>
      </c>
      <c r="AJ469" s="1" t="str">
        <v>Y1</v>
      </c>
      <c r="AK469" s="1" t="str">
        <v>DPLUS-A01</v>
      </c>
      <c r="AL469" s="1">
        <v>20</v>
      </c>
    </row>
    <row r="470" spans="1:38" ht="14.25" customHeight="1" x14ac:dyDescent="0.25">
      <c r="A470" t="s">
        <v>118</v>
      </c>
      <c r="B470">
        <v>10</v>
      </c>
      <c r="C470">
        <v>2024</v>
      </c>
      <c r="D470" t="s">
        <v>823</v>
      </c>
      <c r="E470" t="s">
        <v>164</v>
      </c>
      <c r="F470">
        <v>0</v>
      </c>
      <c r="AG470" s="1" t="str">
        <v>DPLUS180</v>
      </c>
      <c r="AH470" s="1">
        <v>10</v>
      </c>
      <c r="AI470" s="1">
        <v>2024</v>
      </c>
      <c r="AJ470" s="1" t="str">
        <v>Y2</v>
      </c>
      <c r="AK470" s="1" t="str">
        <v>DPLUS-A01</v>
      </c>
      <c r="AL470" s="1">
        <v>0</v>
      </c>
    </row>
    <row r="471" spans="1:38" ht="14.25" customHeight="1" x14ac:dyDescent="0.25">
      <c r="A471" t="s">
        <v>118</v>
      </c>
      <c r="B471">
        <v>10</v>
      </c>
      <c r="C471">
        <v>2023</v>
      </c>
      <c r="D471" t="s">
        <v>822</v>
      </c>
      <c r="E471" t="s">
        <v>250</v>
      </c>
      <c r="F471">
        <v>1</v>
      </c>
      <c r="AG471" s="1" t="str">
        <v>DPLUS180</v>
      </c>
      <c r="AH471" s="1">
        <v>10</v>
      </c>
      <c r="AI471" s="1">
        <v>2023</v>
      </c>
      <c r="AJ471" s="1" t="str">
        <v>Y1</v>
      </c>
      <c r="AK471" s="1" t="str">
        <v>DPLUS-C17</v>
      </c>
      <c r="AL471" s="1">
        <v>1</v>
      </c>
    </row>
    <row r="472" spans="1:38" ht="14.25" customHeight="1" x14ac:dyDescent="0.25">
      <c r="A472" t="s">
        <v>118</v>
      </c>
      <c r="B472">
        <v>10</v>
      </c>
      <c r="C472">
        <v>2024</v>
      </c>
      <c r="D472" t="s">
        <v>823</v>
      </c>
      <c r="E472" t="s">
        <v>250</v>
      </c>
      <c r="F472">
        <v>0</v>
      </c>
      <c r="AG472" s="1" t="str">
        <v>DPLUS180</v>
      </c>
      <c r="AH472" s="1">
        <v>10</v>
      </c>
      <c r="AI472" s="1">
        <v>2024</v>
      </c>
      <c r="AJ472" s="1" t="str">
        <v>Y2</v>
      </c>
      <c r="AK472" s="1" t="str">
        <v>DPLUS-C17</v>
      </c>
      <c r="AL472" s="1">
        <v>0</v>
      </c>
    </row>
    <row r="473" spans="1:38" ht="14.25" customHeight="1" x14ac:dyDescent="0.25">
      <c r="A473" t="s">
        <v>120</v>
      </c>
      <c r="B473">
        <v>10</v>
      </c>
      <c r="C473">
        <v>2023</v>
      </c>
      <c r="D473" t="s">
        <v>822</v>
      </c>
      <c r="E473" t="s">
        <v>164</v>
      </c>
      <c r="F473">
        <v>20</v>
      </c>
      <c r="AG473" s="1" t="str">
        <v>DPLUS181</v>
      </c>
      <c r="AH473" s="1">
        <v>10</v>
      </c>
      <c r="AI473" s="1">
        <v>2023</v>
      </c>
      <c r="AJ473" s="1" t="str">
        <v>Y1</v>
      </c>
      <c r="AK473" s="1" t="str">
        <v>DPLUS-A01</v>
      </c>
      <c r="AL473" s="1">
        <v>20</v>
      </c>
    </row>
    <row r="474" spans="1:38" ht="14.25" customHeight="1" x14ac:dyDescent="0.25">
      <c r="A474" t="s">
        <v>120</v>
      </c>
      <c r="B474">
        <v>10</v>
      </c>
      <c r="C474">
        <v>2024</v>
      </c>
      <c r="D474" t="s">
        <v>823</v>
      </c>
      <c r="E474" t="s">
        <v>164</v>
      </c>
      <c r="F474">
        <v>0</v>
      </c>
      <c r="AG474" s="1" t="str">
        <v>DPLUS181</v>
      </c>
      <c r="AH474" s="1">
        <v>10</v>
      </c>
      <c r="AI474" s="1">
        <v>2024</v>
      </c>
      <c r="AJ474" s="1" t="str">
        <v>Y2</v>
      </c>
      <c r="AK474" s="1" t="str">
        <v>DPLUS-A01</v>
      </c>
      <c r="AL474" s="1">
        <v>0</v>
      </c>
    </row>
    <row r="475" spans="1:38" ht="14.25" customHeight="1" x14ac:dyDescent="0.25">
      <c r="A475" t="s">
        <v>120</v>
      </c>
      <c r="B475">
        <v>10</v>
      </c>
      <c r="C475">
        <v>2023</v>
      </c>
      <c r="D475" t="s">
        <v>822</v>
      </c>
      <c r="E475" t="s">
        <v>250</v>
      </c>
      <c r="F475">
        <v>1</v>
      </c>
      <c r="AG475" s="1" t="str">
        <v>DPLUS181</v>
      </c>
      <c r="AH475" s="1">
        <v>10</v>
      </c>
      <c r="AI475" s="1">
        <v>2023</v>
      </c>
      <c r="AJ475" s="1" t="str">
        <v>Y1</v>
      </c>
      <c r="AK475" s="1" t="str">
        <v>DPLUS-C17</v>
      </c>
      <c r="AL475" s="1">
        <v>1</v>
      </c>
    </row>
    <row r="476" spans="1:38" ht="14.25" customHeight="1" x14ac:dyDescent="0.25">
      <c r="A476" t="s">
        <v>120</v>
      </c>
      <c r="B476">
        <v>10</v>
      </c>
      <c r="C476">
        <v>2024</v>
      </c>
      <c r="D476" t="s">
        <v>823</v>
      </c>
      <c r="E476" t="s">
        <v>250</v>
      </c>
      <c r="F476">
        <v>0</v>
      </c>
      <c r="AG476" s="1" t="str">
        <v>DPLUS181</v>
      </c>
      <c r="AH476" s="1">
        <v>10</v>
      </c>
      <c r="AI476" s="1">
        <v>2024</v>
      </c>
      <c r="AJ476" s="1" t="str">
        <v>Y2</v>
      </c>
      <c r="AK476" s="1" t="str">
        <v>DPLUS-C17</v>
      </c>
      <c r="AL476" s="1">
        <v>0</v>
      </c>
    </row>
    <row r="477" spans="1:38" ht="14.25" customHeight="1" x14ac:dyDescent="0.25">
      <c r="A477" t="s">
        <v>322</v>
      </c>
      <c r="B477" s="2">
        <v>11</v>
      </c>
      <c r="C477">
        <v>2024</v>
      </c>
      <c r="D477" t="s">
        <v>822</v>
      </c>
      <c r="E477" t="s">
        <v>828</v>
      </c>
      <c r="F477">
        <v>0</v>
      </c>
      <c r="AG477" s="1" t="str">
        <v>DPLUS182</v>
      </c>
      <c r="AH477" s="1">
        <v>11</v>
      </c>
      <c r="AI477" s="1">
        <v>2024</v>
      </c>
      <c r="AJ477" s="1" t="str">
        <v>Y1</v>
      </c>
      <c r="AK477" s="1" t="str">
        <v>DPLUS-C12 </v>
      </c>
      <c r="AL477" s="1">
        <v>0</v>
      </c>
    </row>
    <row r="478" spans="1:38" ht="14.25" customHeight="1" x14ac:dyDescent="0.25">
      <c r="A478" t="s">
        <v>322</v>
      </c>
      <c r="B478" s="2">
        <v>11</v>
      </c>
      <c r="C478">
        <v>2024</v>
      </c>
      <c r="D478" t="s">
        <v>822</v>
      </c>
      <c r="E478" t="s">
        <v>263</v>
      </c>
      <c r="F478">
        <v>0</v>
      </c>
      <c r="AG478" s="1" t="str">
        <v>DPLUS182</v>
      </c>
      <c r="AH478" s="1">
        <v>11</v>
      </c>
      <c r="AI478" s="1">
        <v>2024</v>
      </c>
      <c r="AJ478" s="1" t="str">
        <v>Y1</v>
      </c>
      <c r="AK478" s="1" t="str">
        <v>DPLUS-D04</v>
      </c>
      <c r="AL478" s="1">
        <v>0</v>
      </c>
    </row>
    <row r="479" spans="1:38" ht="14.25" customHeight="1" x14ac:dyDescent="0.25">
      <c r="A479" t="s">
        <v>322</v>
      </c>
      <c r="B479" s="2">
        <v>11</v>
      </c>
      <c r="C479">
        <v>2024</v>
      </c>
      <c r="D479" t="s">
        <v>822</v>
      </c>
      <c r="E479" t="s">
        <v>279</v>
      </c>
      <c r="F479">
        <v>0</v>
      </c>
      <c r="AG479" s="1" t="str">
        <v>DPLUS182</v>
      </c>
      <c r="AH479" s="1">
        <v>11</v>
      </c>
      <c r="AI479" s="1">
        <v>2024</v>
      </c>
      <c r="AJ479" s="1" t="str">
        <v>Y1</v>
      </c>
      <c r="AK479" s="1" t="str">
        <v>DPLUS-D12</v>
      </c>
      <c r="AL479" s="1">
        <v>0</v>
      </c>
    </row>
    <row r="480" spans="1:38" ht="14.25" customHeight="1" x14ac:dyDescent="0.25">
      <c r="A480" t="s">
        <v>323</v>
      </c>
      <c r="B480" s="2">
        <v>11</v>
      </c>
      <c r="C480">
        <v>2024</v>
      </c>
      <c r="D480" t="s">
        <v>822</v>
      </c>
      <c r="E480" t="s">
        <v>164</v>
      </c>
      <c r="F480">
        <v>9</v>
      </c>
      <c r="AG480" s="1" t="str">
        <v>DPLUS183</v>
      </c>
      <c r="AH480" s="1">
        <v>11</v>
      </c>
      <c r="AI480" s="1">
        <v>2024</v>
      </c>
      <c r="AJ480" s="1" t="str">
        <v>Y1</v>
      </c>
      <c r="AK480" s="1" t="str">
        <v>DPLUS-A01</v>
      </c>
      <c r="AL480" s="1">
        <v>9</v>
      </c>
    </row>
    <row r="481" spans="1:38" ht="14.25" customHeight="1" x14ac:dyDescent="0.25">
      <c r="A481" t="s">
        <v>323</v>
      </c>
      <c r="B481" s="2">
        <v>11</v>
      </c>
      <c r="C481">
        <v>2024</v>
      </c>
      <c r="D481" t="s">
        <v>822</v>
      </c>
      <c r="E481" t="s">
        <v>169</v>
      </c>
      <c r="F481">
        <v>0</v>
      </c>
      <c r="AG481" s="1" t="str">
        <v>DPLUS183</v>
      </c>
      <c r="AH481" s="1">
        <v>11</v>
      </c>
      <c r="AI481" s="1">
        <v>2024</v>
      </c>
      <c r="AJ481" s="1" t="str">
        <v>Y1</v>
      </c>
      <c r="AK481" s="1" t="str">
        <v>DPLUS-A03</v>
      </c>
      <c r="AL481" s="1">
        <v>0</v>
      </c>
    </row>
    <row r="482" spans="1:38" ht="14.25" customHeight="1" x14ac:dyDescent="0.25">
      <c r="A482" t="s">
        <v>323</v>
      </c>
      <c r="B482" s="2">
        <v>11</v>
      </c>
      <c r="C482">
        <v>2024</v>
      </c>
      <c r="D482" t="s">
        <v>822</v>
      </c>
      <c r="E482" t="s">
        <v>826</v>
      </c>
      <c r="F482">
        <v>0</v>
      </c>
      <c r="AG482" s="1" t="str">
        <v>DPLUS183</v>
      </c>
      <c r="AH482" s="1">
        <v>11</v>
      </c>
      <c r="AI482" s="1">
        <v>2024</v>
      </c>
      <c r="AJ482" s="1" t="str">
        <v>Y1</v>
      </c>
      <c r="AK482" s="1" t="str">
        <v>DPLUS-A04  </v>
      </c>
      <c r="AL482" s="1">
        <v>0</v>
      </c>
    </row>
    <row r="483" spans="1:38" ht="14.25" customHeight="1" x14ac:dyDescent="0.25">
      <c r="A483" t="s">
        <v>323</v>
      </c>
      <c r="B483" s="2">
        <v>11</v>
      </c>
      <c r="C483">
        <v>2024</v>
      </c>
      <c r="D483" t="s">
        <v>822</v>
      </c>
      <c r="E483" t="s">
        <v>829</v>
      </c>
      <c r="F483">
        <v>0</v>
      </c>
      <c r="AG483" s="1" t="str">
        <v>DPLUS183</v>
      </c>
      <c r="AH483" s="1">
        <v>11</v>
      </c>
      <c r="AI483" s="1">
        <v>2024</v>
      </c>
      <c r="AJ483" s="1" t="str">
        <v>Y1</v>
      </c>
      <c r="AK483" s="1" t="str">
        <v>DPLUS-A07 </v>
      </c>
      <c r="AL483" s="1">
        <v>0</v>
      </c>
    </row>
    <row r="484" spans="1:38" ht="14.25" customHeight="1" x14ac:dyDescent="0.25">
      <c r="A484" t="s">
        <v>323</v>
      </c>
      <c r="B484" s="2">
        <v>11</v>
      </c>
      <c r="C484">
        <v>2024</v>
      </c>
      <c r="D484" t="s">
        <v>822</v>
      </c>
      <c r="E484" t="s">
        <v>188</v>
      </c>
      <c r="F484">
        <v>0</v>
      </c>
      <c r="AG484" s="1" t="str">
        <v>DPLUS183</v>
      </c>
      <c r="AH484" s="1">
        <v>11</v>
      </c>
      <c r="AI484" s="1">
        <v>2024</v>
      </c>
      <c r="AJ484" s="1" t="str">
        <v>Y1</v>
      </c>
      <c r="AK484" s="1" t="str">
        <v>DPLUS-B01</v>
      </c>
      <c r="AL484" s="1">
        <v>0</v>
      </c>
    </row>
    <row r="485" spans="1:38" ht="14.25" customHeight="1" x14ac:dyDescent="0.25">
      <c r="A485" t="s">
        <v>323</v>
      </c>
      <c r="B485" s="2">
        <v>11</v>
      </c>
      <c r="C485">
        <v>2024</v>
      </c>
      <c r="D485" t="s">
        <v>822</v>
      </c>
      <c r="E485" t="s">
        <v>190</v>
      </c>
      <c r="F485">
        <v>0</v>
      </c>
      <c r="AG485" s="1" t="str">
        <v>DPLUS183</v>
      </c>
      <c r="AH485" s="1">
        <v>11</v>
      </c>
      <c r="AI485" s="1">
        <v>2024</v>
      </c>
      <c r="AJ485" s="1" t="str">
        <v>Y1</v>
      </c>
      <c r="AK485" s="1" t="str">
        <v>DPLUS-B02</v>
      </c>
      <c r="AL485" s="1">
        <v>0</v>
      </c>
    </row>
    <row r="486" spans="1:38" ht="14.25" customHeight="1" x14ac:dyDescent="0.25">
      <c r="A486" t="s">
        <v>323</v>
      </c>
      <c r="B486" s="2">
        <v>11</v>
      </c>
      <c r="C486">
        <v>2024</v>
      </c>
      <c r="D486" t="s">
        <v>822</v>
      </c>
      <c r="E486" t="s">
        <v>210</v>
      </c>
      <c r="F486">
        <v>0</v>
      </c>
      <c r="AG486" s="1" t="str">
        <v>DPLUS183</v>
      </c>
      <c r="AH486" s="1">
        <v>11</v>
      </c>
      <c r="AI486" s="1">
        <v>2024</v>
      </c>
      <c r="AJ486" s="1" t="str">
        <v>Y1</v>
      </c>
      <c r="AK486" s="1" t="str">
        <v>DPLUS-B11</v>
      </c>
      <c r="AL486" s="1">
        <v>0</v>
      </c>
    </row>
    <row r="487" spans="1:38" ht="14.25" customHeight="1" x14ac:dyDescent="0.25">
      <c r="A487" t="s">
        <v>323</v>
      </c>
      <c r="B487" s="2">
        <v>11</v>
      </c>
      <c r="C487">
        <v>2024</v>
      </c>
      <c r="D487" t="s">
        <v>822</v>
      </c>
      <c r="E487" t="s">
        <v>230</v>
      </c>
      <c r="F487">
        <v>0</v>
      </c>
      <c r="AG487" s="1" t="str">
        <v>DPLUS183</v>
      </c>
      <c r="AH487" s="1">
        <v>11</v>
      </c>
      <c r="AI487" s="1">
        <v>2024</v>
      </c>
      <c r="AJ487" s="1" t="str">
        <v>Y1</v>
      </c>
      <c r="AK487" s="1" t="str">
        <v>DPLUS-C08</v>
      </c>
      <c r="AL487" s="1">
        <v>0</v>
      </c>
    </row>
    <row r="488" spans="1:38" ht="14.25" customHeight="1" x14ac:dyDescent="0.25">
      <c r="A488" t="s">
        <v>323</v>
      </c>
      <c r="B488" s="2">
        <v>11</v>
      </c>
      <c r="C488">
        <v>2024</v>
      </c>
      <c r="D488" t="s">
        <v>822</v>
      </c>
      <c r="E488" t="s">
        <v>232</v>
      </c>
      <c r="F488">
        <v>4</v>
      </c>
      <c r="AG488" s="1" t="str">
        <v>DPLUS183</v>
      </c>
      <c r="AH488" s="1">
        <v>11</v>
      </c>
      <c r="AI488" s="1">
        <v>2024</v>
      </c>
      <c r="AJ488" s="1" t="str">
        <v>Y1</v>
      </c>
      <c r="AK488" s="1" t="str">
        <v>DPLUS-C09</v>
      </c>
      <c r="AL488" s="1">
        <v>4</v>
      </c>
    </row>
    <row r="489" spans="1:38" ht="14.25" customHeight="1" x14ac:dyDescent="0.25">
      <c r="A489" t="s">
        <v>323</v>
      </c>
      <c r="B489" s="2">
        <v>11</v>
      </c>
      <c r="C489">
        <v>2024</v>
      </c>
      <c r="D489" t="s">
        <v>822</v>
      </c>
      <c r="E489" t="s">
        <v>294</v>
      </c>
      <c r="F489">
        <v>0</v>
      </c>
      <c r="AG489" s="1" t="str">
        <v>DPLUS183</v>
      </c>
      <c r="AH489" s="1">
        <v>11</v>
      </c>
      <c r="AI489" s="1">
        <v>2024</v>
      </c>
      <c r="AJ489" s="1" t="str">
        <v>Y1</v>
      </c>
      <c r="AK489" s="1" t="str">
        <v>DPLUS-E03</v>
      </c>
      <c r="AL489" s="1">
        <v>0</v>
      </c>
    </row>
    <row r="490" spans="1:38" ht="14.25" customHeight="1" x14ac:dyDescent="0.25">
      <c r="A490" t="s">
        <v>324</v>
      </c>
      <c r="B490" s="2">
        <v>11</v>
      </c>
      <c r="C490">
        <v>2024</v>
      </c>
      <c r="D490" t="s">
        <v>822</v>
      </c>
      <c r="E490" t="s">
        <v>829</v>
      </c>
      <c r="F490">
        <v>1</v>
      </c>
      <c r="AG490" s="1" t="str">
        <v>DPLUS184</v>
      </c>
      <c r="AH490" s="1">
        <v>11</v>
      </c>
      <c r="AI490" s="1">
        <v>2024</v>
      </c>
      <c r="AJ490" s="1" t="str">
        <v>Y1</v>
      </c>
      <c r="AK490" s="1" t="str">
        <v>DPLUS-A07 </v>
      </c>
      <c r="AL490" s="1">
        <v>1</v>
      </c>
    </row>
    <row r="491" spans="1:38" ht="14.25" customHeight="1" x14ac:dyDescent="0.25">
      <c r="A491" t="s">
        <v>324</v>
      </c>
      <c r="B491" s="2">
        <v>11</v>
      </c>
      <c r="C491">
        <v>2024</v>
      </c>
      <c r="D491" t="s">
        <v>822</v>
      </c>
      <c r="E491" t="s">
        <v>227</v>
      </c>
      <c r="F491">
        <v>0</v>
      </c>
      <c r="AG491" s="1" t="str">
        <v>DPLUS184</v>
      </c>
      <c r="AH491" s="1">
        <v>11</v>
      </c>
      <c r="AI491" s="1">
        <v>2024</v>
      </c>
      <c r="AJ491" s="1" t="str">
        <v>Y1</v>
      </c>
      <c r="AK491" s="1" t="str">
        <v>DPLUS-C07</v>
      </c>
      <c r="AL491" s="1">
        <v>0</v>
      </c>
    </row>
    <row r="492" spans="1:38" ht="14.25" customHeight="1" x14ac:dyDescent="0.25">
      <c r="A492" t="s">
        <v>324</v>
      </c>
      <c r="B492" s="2">
        <v>11</v>
      </c>
      <c r="C492">
        <v>2024</v>
      </c>
      <c r="D492" t="s">
        <v>822</v>
      </c>
      <c r="E492" t="s">
        <v>245</v>
      </c>
      <c r="F492">
        <v>7</v>
      </c>
      <c r="AG492" s="1" t="str">
        <v>DPLUS184</v>
      </c>
      <c r="AH492" s="1">
        <v>11</v>
      </c>
      <c r="AI492" s="1">
        <v>2024</v>
      </c>
      <c r="AJ492" s="1" t="str">
        <v>Y1</v>
      </c>
      <c r="AK492" s="1" t="str">
        <v>DPLUS-C15</v>
      </c>
      <c r="AL492" s="1">
        <v>7</v>
      </c>
    </row>
    <row r="493" spans="1:38" ht="14.25" customHeight="1" x14ac:dyDescent="0.25">
      <c r="A493" t="s">
        <v>324</v>
      </c>
      <c r="B493" s="2">
        <v>11</v>
      </c>
      <c r="C493">
        <v>2024</v>
      </c>
      <c r="D493" t="s">
        <v>822</v>
      </c>
      <c r="E493" t="s">
        <v>250</v>
      </c>
      <c r="F493">
        <v>0</v>
      </c>
      <c r="AG493" s="1" t="str">
        <v>DPLUS184</v>
      </c>
      <c r="AH493" s="1">
        <v>11</v>
      </c>
      <c r="AI493" s="1">
        <v>2024</v>
      </c>
      <c r="AJ493" s="1" t="str">
        <v>Y1</v>
      </c>
      <c r="AK493" s="1" t="str">
        <v>DPLUS-C17</v>
      </c>
      <c r="AL493" s="1">
        <v>0</v>
      </c>
    </row>
    <row r="494" spans="1:38" ht="14.25" customHeight="1" x14ac:dyDescent="0.25">
      <c r="A494" t="s">
        <v>324</v>
      </c>
      <c r="B494" s="2">
        <v>11</v>
      </c>
      <c r="C494">
        <v>2024</v>
      </c>
      <c r="D494" t="s">
        <v>822</v>
      </c>
      <c r="E494" t="s">
        <v>254</v>
      </c>
      <c r="F494">
        <v>0</v>
      </c>
      <c r="AG494" s="1" t="str">
        <v>DPLUS184</v>
      </c>
      <c r="AH494" s="1">
        <v>11</v>
      </c>
      <c r="AI494" s="1">
        <v>2024</v>
      </c>
      <c r="AJ494" s="1" t="str">
        <v>Y1</v>
      </c>
      <c r="AK494" s="1" t="str">
        <v>DPLUS-C19</v>
      </c>
      <c r="AL494" s="1">
        <v>0</v>
      </c>
    </row>
    <row r="495" spans="1:38" ht="14.25" customHeight="1" x14ac:dyDescent="0.25">
      <c r="A495" t="s">
        <v>325</v>
      </c>
      <c r="B495" s="2">
        <v>11</v>
      </c>
      <c r="C495">
        <v>2024</v>
      </c>
      <c r="D495" t="s">
        <v>822</v>
      </c>
      <c r="E495" t="s">
        <v>830</v>
      </c>
      <c r="F495">
        <v>0</v>
      </c>
      <c r="AG495" s="1" t="str">
        <v>DPLUS185</v>
      </c>
      <c r="AH495" s="1">
        <v>11</v>
      </c>
      <c r="AI495" s="1">
        <v>2024</v>
      </c>
      <c r="AJ495" s="1" t="str">
        <v>Y1</v>
      </c>
      <c r="AK495" s="1" t="str">
        <v>DPLUS-A03 </v>
      </c>
      <c r="AL495" s="1">
        <v>0</v>
      </c>
    </row>
    <row r="496" spans="1:38" ht="14.25" customHeight="1" x14ac:dyDescent="0.25">
      <c r="A496" t="s">
        <v>325</v>
      </c>
      <c r="B496" s="2">
        <v>11</v>
      </c>
      <c r="C496">
        <v>2024</v>
      </c>
      <c r="D496" t="s">
        <v>822</v>
      </c>
      <c r="E496" t="s">
        <v>829</v>
      </c>
      <c r="F496">
        <v>0</v>
      </c>
      <c r="AG496" s="1" t="str">
        <v>DPLUS185</v>
      </c>
      <c r="AH496" s="1">
        <v>11</v>
      </c>
      <c r="AI496" s="1">
        <v>2024</v>
      </c>
      <c r="AJ496" s="1" t="str">
        <v>Y1</v>
      </c>
      <c r="AK496" s="1" t="str">
        <v>DPLUS-A07 </v>
      </c>
      <c r="AL496" s="1">
        <v>0</v>
      </c>
    </row>
    <row r="497" spans="1:38" ht="14.25" customHeight="1" x14ac:dyDescent="0.25">
      <c r="A497" t="s">
        <v>325</v>
      </c>
      <c r="B497" s="2">
        <v>11</v>
      </c>
      <c r="C497">
        <v>2024</v>
      </c>
      <c r="D497" t="s">
        <v>822</v>
      </c>
      <c r="E497" t="s">
        <v>831</v>
      </c>
      <c r="F497">
        <v>0</v>
      </c>
      <c r="AG497" s="1" t="str">
        <v>DPLUS185</v>
      </c>
      <c r="AH497" s="1">
        <v>11</v>
      </c>
      <c r="AI497" s="1">
        <v>2024</v>
      </c>
      <c r="AJ497" s="1" t="str">
        <v>Y1</v>
      </c>
      <c r="AK497" s="1" t="str">
        <v>DPLUS-B02 </v>
      </c>
      <c r="AL497" s="1">
        <v>0</v>
      </c>
    </row>
    <row r="498" spans="1:38" ht="14.25" customHeight="1" x14ac:dyDescent="0.25">
      <c r="A498" t="s">
        <v>325</v>
      </c>
      <c r="B498" s="2">
        <v>11</v>
      </c>
      <c r="C498">
        <v>2024</v>
      </c>
      <c r="D498" t="s">
        <v>822</v>
      </c>
      <c r="E498" t="s">
        <v>832</v>
      </c>
      <c r="F498">
        <v>0</v>
      </c>
      <c r="AG498" s="1" t="str">
        <v>DPLUS185</v>
      </c>
      <c r="AH498" s="1">
        <v>11</v>
      </c>
      <c r="AI498" s="1">
        <v>2024</v>
      </c>
      <c r="AJ498" s="1" t="str">
        <v>Y1</v>
      </c>
      <c r="AK498" s="1" t="str">
        <v>DPLUS-B11 </v>
      </c>
      <c r="AL498" s="1">
        <v>0</v>
      </c>
    </row>
    <row r="499" spans="1:38" ht="14.25" customHeight="1" x14ac:dyDescent="0.25">
      <c r="A499" t="s">
        <v>325</v>
      </c>
      <c r="B499" s="2">
        <v>11</v>
      </c>
      <c r="C499">
        <v>2024</v>
      </c>
      <c r="D499" t="s">
        <v>822</v>
      </c>
      <c r="E499" t="s">
        <v>833</v>
      </c>
      <c r="F499">
        <v>0</v>
      </c>
      <c r="AG499" s="1" t="str">
        <v>DPLUS185</v>
      </c>
      <c r="AH499" s="1">
        <v>11</v>
      </c>
      <c r="AI499" s="1">
        <v>2024</v>
      </c>
      <c r="AJ499" s="1" t="str">
        <v>Y1</v>
      </c>
      <c r="AK499" s="1" t="str">
        <v>DPLUS-C03 </v>
      </c>
      <c r="AL499" s="1">
        <v>0</v>
      </c>
    </row>
    <row r="500" spans="1:38" ht="14.25" customHeight="1" x14ac:dyDescent="0.25">
      <c r="A500" t="s">
        <v>325</v>
      </c>
      <c r="B500" s="2">
        <v>11</v>
      </c>
      <c r="C500">
        <v>2024</v>
      </c>
      <c r="D500" t="s">
        <v>822</v>
      </c>
      <c r="E500" t="s">
        <v>827</v>
      </c>
      <c r="F500">
        <v>0</v>
      </c>
      <c r="AG500" s="1" t="str">
        <v>DPLUS185</v>
      </c>
      <c r="AH500" s="1">
        <v>11</v>
      </c>
      <c r="AI500" s="1">
        <v>2024</v>
      </c>
      <c r="AJ500" s="1" t="str">
        <v>Y1</v>
      </c>
      <c r="AK500" s="1" t="str">
        <v>DPLUS-C05 </v>
      </c>
      <c r="AL500" s="1">
        <v>0</v>
      </c>
    </row>
    <row r="501" spans="1:38" ht="14.25" customHeight="1" x14ac:dyDescent="0.25">
      <c r="A501" t="s">
        <v>325</v>
      </c>
      <c r="B501" s="2">
        <v>11</v>
      </c>
      <c r="C501">
        <v>2024</v>
      </c>
      <c r="D501" t="s">
        <v>822</v>
      </c>
      <c r="E501" t="s">
        <v>560</v>
      </c>
      <c r="F501">
        <v>0</v>
      </c>
      <c r="AG501" s="1" t="str">
        <v>DPLUS185</v>
      </c>
      <c r="AH501" s="1">
        <v>11</v>
      </c>
      <c r="AI501" s="1">
        <v>2024</v>
      </c>
      <c r="AJ501" s="1" t="str">
        <v>Y1</v>
      </c>
      <c r="AK501" s="1" t="str">
        <v>DPLUS-C06 </v>
      </c>
      <c r="AL501" s="1">
        <v>0</v>
      </c>
    </row>
    <row r="502" spans="1:38" ht="14.25" customHeight="1" x14ac:dyDescent="0.25">
      <c r="A502" t="s">
        <v>325</v>
      </c>
      <c r="B502" s="2">
        <v>11</v>
      </c>
      <c r="C502">
        <v>2024</v>
      </c>
      <c r="D502" t="s">
        <v>822</v>
      </c>
      <c r="E502" t="s">
        <v>834</v>
      </c>
      <c r="F502">
        <v>0</v>
      </c>
      <c r="AG502" s="1" t="str">
        <v>DPLUS185</v>
      </c>
      <c r="AH502" s="1">
        <v>11</v>
      </c>
      <c r="AI502" s="1">
        <v>2024</v>
      </c>
      <c r="AJ502" s="1" t="str">
        <v>Y1</v>
      </c>
      <c r="AK502" s="1" t="str">
        <v>DPLUS-C07 </v>
      </c>
      <c r="AL502" s="1">
        <v>0</v>
      </c>
    </row>
    <row r="503" spans="1:38" ht="14.25" customHeight="1" x14ac:dyDescent="0.25">
      <c r="A503" t="s">
        <v>325</v>
      </c>
      <c r="B503" s="2">
        <v>11</v>
      </c>
      <c r="C503">
        <v>2024</v>
      </c>
      <c r="D503" t="s">
        <v>822</v>
      </c>
      <c r="E503" t="s">
        <v>835</v>
      </c>
      <c r="F503">
        <v>3</v>
      </c>
      <c r="AG503" s="1" t="str">
        <v>DPLUS185</v>
      </c>
      <c r="AH503" s="1">
        <v>11</v>
      </c>
      <c r="AI503" s="1">
        <v>2024</v>
      </c>
      <c r="AJ503" s="1" t="str">
        <v>Y1</v>
      </c>
      <c r="AK503" s="1" t="str">
        <v>DPLUS-C15 </v>
      </c>
      <c r="AL503" s="1">
        <v>3</v>
      </c>
    </row>
    <row r="504" spans="1:38" ht="14.25" customHeight="1" x14ac:dyDescent="0.25">
      <c r="A504" t="s">
        <v>325</v>
      </c>
      <c r="B504" s="2">
        <v>11</v>
      </c>
      <c r="C504">
        <v>2024</v>
      </c>
      <c r="D504" t="s">
        <v>822</v>
      </c>
      <c r="E504" t="s">
        <v>836</v>
      </c>
      <c r="F504">
        <v>0</v>
      </c>
      <c r="AG504" s="1" t="str">
        <v>DPLUS185</v>
      </c>
      <c r="AH504" s="1">
        <v>11</v>
      </c>
      <c r="AI504" s="1">
        <v>2024</v>
      </c>
      <c r="AJ504" s="1" t="str">
        <v>Y1</v>
      </c>
      <c r="AK504" s="1" t="str">
        <v>DPLUS-C17 </v>
      </c>
      <c r="AL504" s="1">
        <v>0</v>
      </c>
    </row>
    <row r="505" spans="1:38" ht="14.25" customHeight="1" x14ac:dyDescent="0.25">
      <c r="A505" t="s">
        <v>325</v>
      </c>
      <c r="B505" s="2">
        <v>11</v>
      </c>
      <c r="C505">
        <v>2024</v>
      </c>
      <c r="D505" t="s">
        <v>822</v>
      </c>
      <c r="E505" t="s">
        <v>837</v>
      </c>
      <c r="F505">
        <v>0</v>
      </c>
      <c r="AG505" s="1" t="str">
        <v>DPLUS185</v>
      </c>
      <c r="AH505" s="1">
        <v>11</v>
      </c>
      <c r="AI505" s="1">
        <v>2024</v>
      </c>
      <c r="AJ505" s="1" t="str">
        <v>Y1</v>
      </c>
      <c r="AK505" s="1" t="str">
        <v>DPLUS-C18 </v>
      </c>
      <c r="AL505" s="1">
        <v>0</v>
      </c>
    </row>
    <row r="506" spans="1:38" ht="14.25" customHeight="1" x14ac:dyDescent="0.25">
      <c r="A506" t="s">
        <v>325</v>
      </c>
      <c r="B506" s="2">
        <v>11</v>
      </c>
      <c r="C506">
        <v>2024</v>
      </c>
      <c r="D506" t="s">
        <v>822</v>
      </c>
      <c r="E506" t="s">
        <v>838</v>
      </c>
      <c r="F506">
        <v>2</v>
      </c>
      <c r="AG506" s="1" t="str">
        <v>DPLUS185</v>
      </c>
      <c r="AH506" s="1">
        <v>11</v>
      </c>
      <c r="AI506" s="1">
        <v>2024</v>
      </c>
      <c r="AJ506" s="1" t="str">
        <v>Y1</v>
      </c>
      <c r="AK506" s="1" t="str">
        <v>DPLUS-C19 </v>
      </c>
      <c r="AL506" s="1">
        <v>2</v>
      </c>
    </row>
    <row r="507" spans="1:38" ht="14.25" customHeight="1" x14ac:dyDescent="0.25">
      <c r="A507" t="s">
        <v>325</v>
      </c>
      <c r="B507" s="2">
        <v>11</v>
      </c>
      <c r="C507">
        <v>2024</v>
      </c>
      <c r="D507" t="s">
        <v>822</v>
      </c>
      <c r="E507" t="s">
        <v>839</v>
      </c>
      <c r="F507">
        <v>0</v>
      </c>
      <c r="AG507" s="1" t="str">
        <v>DPLUS185</v>
      </c>
      <c r="AH507" s="1">
        <v>11</v>
      </c>
      <c r="AI507" s="1">
        <v>2024</v>
      </c>
      <c r="AJ507" s="1" t="str">
        <v>Y1</v>
      </c>
      <c r="AK507" s="1" t="str">
        <v>DPLUS-D01 </v>
      </c>
      <c r="AL507" s="1">
        <v>0</v>
      </c>
    </row>
    <row r="508" spans="1:38" ht="14.25" customHeight="1" x14ac:dyDescent="0.25">
      <c r="A508" t="s">
        <v>326</v>
      </c>
      <c r="B508" s="2">
        <v>11</v>
      </c>
      <c r="C508">
        <v>2024</v>
      </c>
      <c r="D508" t="s">
        <v>822</v>
      </c>
      <c r="E508" t="s">
        <v>830</v>
      </c>
      <c r="F508">
        <v>0</v>
      </c>
      <c r="AG508" s="1" t="str">
        <v>DPLUS186</v>
      </c>
      <c r="AH508" s="1">
        <v>11</v>
      </c>
      <c r="AI508" s="1">
        <v>2024</v>
      </c>
      <c r="AJ508" s="1" t="str">
        <v>Y1</v>
      </c>
      <c r="AK508" s="1" t="str">
        <v>DPLUS-A03 </v>
      </c>
      <c r="AL508" s="1">
        <v>0</v>
      </c>
    </row>
    <row r="509" spans="1:38" ht="14.25" customHeight="1" x14ac:dyDescent="0.25">
      <c r="A509" t="s">
        <v>326</v>
      </c>
      <c r="B509" s="2">
        <v>11</v>
      </c>
      <c r="C509">
        <v>2024</v>
      </c>
      <c r="D509" t="s">
        <v>822</v>
      </c>
      <c r="E509" t="s">
        <v>188</v>
      </c>
      <c r="F509">
        <v>0</v>
      </c>
      <c r="AG509" s="1" t="str">
        <v>DPLUS186</v>
      </c>
      <c r="AH509" s="1">
        <v>11</v>
      </c>
      <c r="AI509" s="1">
        <v>2024</v>
      </c>
      <c r="AJ509" s="1" t="str">
        <v>Y1</v>
      </c>
      <c r="AK509" s="1" t="str">
        <v>DPLUS-B01</v>
      </c>
      <c r="AL509" s="1">
        <v>0</v>
      </c>
    </row>
    <row r="510" spans="1:38" ht="14.25" customHeight="1" x14ac:dyDescent="0.25">
      <c r="A510" t="s">
        <v>326</v>
      </c>
      <c r="B510" s="2">
        <v>11</v>
      </c>
      <c r="C510">
        <v>2024</v>
      </c>
      <c r="D510" t="s">
        <v>822</v>
      </c>
      <c r="E510" t="s">
        <v>840</v>
      </c>
      <c r="F510">
        <v>0</v>
      </c>
      <c r="AG510" s="1" t="str">
        <v>DPLUS186</v>
      </c>
      <c r="AH510" s="1">
        <v>11</v>
      </c>
      <c r="AI510" s="1">
        <v>2024</v>
      </c>
      <c r="AJ510" s="1" t="str">
        <v>Y1</v>
      </c>
      <c r="AK510" s="1" t="str">
        <v>DPLUS-C01 </v>
      </c>
      <c r="AL510" s="1">
        <v>0</v>
      </c>
    </row>
    <row r="511" spans="1:38" ht="14.25" customHeight="1" x14ac:dyDescent="0.25">
      <c r="A511" t="s">
        <v>326</v>
      </c>
      <c r="B511" s="2">
        <v>11</v>
      </c>
      <c r="C511">
        <v>2024</v>
      </c>
      <c r="D511" t="s">
        <v>822</v>
      </c>
      <c r="E511" t="s">
        <v>827</v>
      </c>
      <c r="F511">
        <v>0</v>
      </c>
      <c r="AG511" s="1" t="str">
        <v>DPLUS186</v>
      </c>
      <c r="AH511" s="1">
        <v>11</v>
      </c>
      <c r="AI511" s="1">
        <v>2024</v>
      </c>
      <c r="AJ511" s="1" t="str">
        <v>Y1</v>
      </c>
      <c r="AK511" s="1" t="str">
        <v>DPLUS-C05 </v>
      </c>
      <c r="AL511" s="1">
        <v>0</v>
      </c>
    </row>
    <row r="512" spans="1:38" ht="14.25" customHeight="1" x14ac:dyDescent="0.25">
      <c r="A512" t="s">
        <v>326</v>
      </c>
      <c r="B512" s="2">
        <v>11</v>
      </c>
      <c r="C512">
        <v>2024</v>
      </c>
      <c r="D512" t="s">
        <v>822</v>
      </c>
      <c r="E512" t="s">
        <v>841</v>
      </c>
      <c r="F512">
        <v>0</v>
      </c>
      <c r="AG512" s="1" t="str">
        <v>DPLUS186</v>
      </c>
      <c r="AH512" s="1">
        <v>11</v>
      </c>
      <c r="AI512" s="1">
        <v>2024</v>
      </c>
      <c r="AJ512" s="1" t="str">
        <v>Y1</v>
      </c>
      <c r="AK512" s="1" t="str">
        <v>DPLUS-C08 </v>
      </c>
      <c r="AL512" s="1">
        <v>0</v>
      </c>
    </row>
    <row r="513" spans="1:38" ht="14.25" customHeight="1" x14ac:dyDescent="0.25">
      <c r="A513" t="s">
        <v>326</v>
      </c>
      <c r="B513" s="2">
        <v>11</v>
      </c>
      <c r="C513">
        <v>2024</v>
      </c>
      <c r="D513" t="s">
        <v>822</v>
      </c>
      <c r="E513" t="s">
        <v>828</v>
      </c>
      <c r="F513">
        <v>0</v>
      </c>
      <c r="AG513" s="1" t="str">
        <v>DPLUS186</v>
      </c>
      <c r="AH513" s="1">
        <v>11</v>
      </c>
      <c r="AI513" s="1">
        <v>2024</v>
      </c>
      <c r="AJ513" s="1" t="str">
        <v>Y1</v>
      </c>
      <c r="AK513" s="1" t="str">
        <v>DPLUS-C12 </v>
      </c>
      <c r="AL513" s="1">
        <v>0</v>
      </c>
    </row>
    <row r="514" spans="1:38" ht="14.25" customHeight="1" x14ac:dyDescent="0.25">
      <c r="A514" t="s">
        <v>326</v>
      </c>
      <c r="B514" s="2">
        <v>11</v>
      </c>
      <c r="C514">
        <v>2024</v>
      </c>
      <c r="D514" t="s">
        <v>822</v>
      </c>
      <c r="E514" t="s">
        <v>835</v>
      </c>
      <c r="F514">
        <v>0</v>
      </c>
      <c r="AG514" s="1" t="str">
        <v>DPLUS186</v>
      </c>
      <c r="AH514" s="1">
        <v>11</v>
      </c>
      <c r="AI514" s="1">
        <v>2024</v>
      </c>
      <c r="AJ514" s="1" t="str">
        <v>Y1</v>
      </c>
      <c r="AK514" s="1" t="str">
        <v>DPLUS-C15 </v>
      </c>
      <c r="AL514" s="1">
        <v>0</v>
      </c>
    </row>
    <row r="515" spans="1:38" ht="14.25" customHeight="1" x14ac:dyDescent="0.25">
      <c r="A515" t="s">
        <v>326</v>
      </c>
      <c r="B515" s="2">
        <v>11</v>
      </c>
      <c r="C515">
        <v>2024</v>
      </c>
      <c r="D515" t="s">
        <v>822</v>
      </c>
      <c r="E515" t="s">
        <v>842</v>
      </c>
      <c r="F515">
        <v>0</v>
      </c>
      <c r="AG515" s="1" t="str">
        <v>DPLUS186</v>
      </c>
      <c r="AH515" s="1">
        <v>11</v>
      </c>
      <c r="AI515" s="1">
        <v>2024</v>
      </c>
      <c r="AJ515" s="1" t="str">
        <v>Y1</v>
      </c>
      <c r="AK515" s="1" t="str">
        <v>DPLUS-C16 </v>
      </c>
      <c r="AL515" s="1">
        <v>0</v>
      </c>
    </row>
    <row r="516" spans="1:38" ht="14.25" customHeight="1" x14ac:dyDescent="0.25">
      <c r="A516" t="s">
        <v>326</v>
      </c>
      <c r="B516" s="2">
        <v>11</v>
      </c>
      <c r="C516">
        <v>2024</v>
      </c>
      <c r="D516" t="s">
        <v>822</v>
      </c>
      <c r="E516" t="s">
        <v>837</v>
      </c>
      <c r="F516">
        <v>0</v>
      </c>
      <c r="AG516" s="1" t="str">
        <v>DPLUS186</v>
      </c>
      <c r="AH516" s="1">
        <v>11</v>
      </c>
      <c r="AI516" s="1">
        <v>2024</v>
      </c>
      <c r="AJ516" s="1" t="str">
        <v>Y1</v>
      </c>
      <c r="AK516" s="1" t="str">
        <v>DPLUS-C18 </v>
      </c>
      <c r="AL516" s="1">
        <v>0</v>
      </c>
    </row>
    <row r="517" spans="1:38" ht="14.25" customHeight="1" x14ac:dyDescent="0.25">
      <c r="A517" t="s">
        <v>326</v>
      </c>
      <c r="B517" s="2">
        <v>11</v>
      </c>
      <c r="C517">
        <v>2024</v>
      </c>
      <c r="D517" t="s">
        <v>822</v>
      </c>
      <c r="E517" t="s">
        <v>261</v>
      </c>
      <c r="F517">
        <v>0</v>
      </c>
      <c r="AG517" s="1" t="str">
        <v>DPLUS186</v>
      </c>
      <c r="AH517" s="1">
        <v>11</v>
      </c>
      <c r="AI517" s="1">
        <v>2024</v>
      </c>
      <c r="AJ517" s="1" t="str">
        <v>Y1</v>
      </c>
      <c r="AK517" s="1" t="str">
        <v>DPLUS-D03</v>
      </c>
      <c r="AL517" s="1">
        <v>0</v>
      </c>
    </row>
    <row r="518" spans="1:38" ht="14.25" customHeight="1" x14ac:dyDescent="0.25">
      <c r="A518" t="s">
        <v>327</v>
      </c>
      <c r="B518" s="2">
        <v>11</v>
      </c>
      <c r="C518">
        <v>2024</v>
      </c>
      <c r="D518" t="s">
        <v>822</v>
      </c>
      <c r="E518" t="s">
        <v>190</v>
      </c>
      <c r="F518">
        <v>0</v>
      </c>
      <c r="AG518" s="1" t="str">
        <v>DPLUS189</v>
      </c>
      <c r="AH518" s="1">
        <v>11</v>
      </c>
      <c r="AI518" s="1">
        <v>2024</v>
      </c>
      <c r="AJ518" s="1" t="str">
        <v>Y1</v>
      </c>
      <c r="AK518" s="1" t="str">
        <v>DPLUS-B02</v>
      </c>
      <c r="AL518" s="1">
        <v>0</v>
      </c>
    </row>
    <row r="519" spans="1:38" ht="14.25" customHeight="1" x14ac:dyDescent="0.25">
      <c r="A519" t="s">
        <v>327</v>
      </c>
      <c r="B519" s="2">
        <v>11</v>
      </c>
      <c r="C519">
        <v>2024</v>
      </c>
      <c r="D519" t="s">
        <v>822</v>
      </c>
      <c r="E519" t="s">
        <v>252</v>
      </c>
      <c r="F519">
        <v>0</v>
      </c>
      <c r="AG519" s="1" t="str">
        <v>DPLUS189</v>
      </c>
      <c r="AH519" s="1">
        <v>11</v>
      </c>
      <c r="AI519" s="1">
        <v>2024</v>
      </c>
      <c r="AJ519" s="1" t="str">
        <v>Y1</v>
      </c>
      <c r="AK519" s="1" t="str">
        <v>DPLUS-C18</v>
      </c>
      <c r="AL519" s="1">
        <v>0</v>
      </c>
    </row>
    <row r="520" spans="1:38" ht="14.25" customHeight="1" x14ac:dyDescent="0.25">
      <c r="A520" t="s">
        <v>327</v>
      </c>
      <c r="B520" s="2">
        <v>11</v>
      </c>
      <c r="C520">
        <v>2024</v>
      </c>
      <c r="D520" t="s">
        <v>822</v>
      </c>
      <c r="E520" t="s">
        <v>254</v>
      </c>
      <c r="F520">
        <v>2</v>
      </c>
      <c r="AG520" s="1" t="str">
        <v>DPLUS189</v>
      </c>
      <c r="AH520" s="1">
        <v>11</v>
      </c>
      <c r="AI520" s="1">
        <v>2024</v>
      </c>
      <c r="AJ520" s="1" t="str">
        <v>Y1</v>
      </c>
      <c r="AK520" s="1" t="str">
        <v>DPLUS-C19</v>
      </c>
      <c r="AL520" s="1">
        <v>2</v>
      </c>
    </row>
    <row r="521" spans="1:38" ht="14.25" customHeight="1" x14ac:dyDescent="0.25">
      <c r="A521" t="s">
        <v>328</v>
      </c>
      <c r="B521" s="2">
        <v>11</v>
      </c>
      <c r="C521">
        <v>2024</v>
      </c>
      <c r="D521" t="s">
        <v>822</v>
      </c>
      <c r="E521" t="s">
        <v>164</v>
      </c>
      <c r="F521">
        <v>4</v>
      </c>
      <c r="AG521" s="1" t="str">
        <v>DPLUS190</v>
      </c>
      <c r="AH521" s="1">
        <v>11</v>
      </c>
      <c r="AI521" s="1">
        <v>2024</v>
      </c>
      <c r="AJ521" s="1" t="str">
        <v>Y1</v>
      </c>
      <c r="AK521" s="1" t="str">
        <v>DPLUS-A01</v>
      </c>
      <c r="AL521" s="1">
        <v>4</v>
      </c>
    </row>
    <row r="522" spans="1:38" ht="14.25" customHeight="1" x14ac:dyDescent="0.25">
      <c r="A522" t="s">
        <v>328</v>
      </c>
      <c r="B522" s="2">
        <v>11</v>
      </c>
      <c r="C522">
        <v>2024</v>
      </c>
      <c r="D522" t="s">
        <v>822</v>
      </c>
      <c r="E522" t="s">
        <v>263</v>
      </c>
      <c r="F522">
        <v>0</v>
      </c>
      <c r="AG522" s="1" t="str">
        <v>DPLUS190</v>
      </c>
      <c r="AH522" s="1">
        <v>11</v>
      </c>
      <c r="AI522" s="1">
        <v>2024</v>
      </c>
      <c r="AJ522" s="1" t="str">
        <v>Y1</v>
      </c>
      <c r="AK522" s="1" t="str">
        <v>DPLUS-D04</v>
      </c>
      <c r="AL522" s="1">
        <v>0</v>
      </c>
    </row>
    <row r="523" spans="1:38" ht="14.25" customHeight="1" x14ac:dyDescent="0.25">
      <c r="A523" t="s">
        <v>328</v>
      </c>
      <c r="B523" s="2">
        <v>11</v>
      </c>
      <c r="C523">
        <v>2024</v>
      </c>
      <c r="D523" t="s">
        <v>822</v>
      </c>
      <c r="E523" t="s">
        <v>277</v>
      </c>
      <c r="F523">
        <v>0</v>
      </c>
      <c r="AG523" s="1" t="str">
        <v>DPLUS190</v>
      </c>
      <c r="AH523" s="1">
        <v>11</v>
      </c>
      <c r="AI523" s="1">
        <v>2024</v>
      </c>
      <c r="AJ523" s="1" t="str">
        <v>Y1</v>
      </c>
      <c r="AK523" s="1" t="str">
        <v>DPLUS-D11</v>
      </c>
      <c r="AL523" s="1">
        <v>0</v>
      </c>
    </row>
    <row r="524" spans="1:38" ht="14.25" customHeight="1" x14ac:dyDescent="0.25">
      <c r="A524" t="s">
        <v>328</v>
      </c>
      <c r="B524" s="2">
        <v>11</v>
      </c>
      <c r="C524">
        <v>2024</v>
      </c>
      <c r="D524" t="s">
        <v>822</v>
      </c>
      <c r="E524" t="s">
        <v>279</v>
      </c>
      <c r="F524">
        <v>4</v>
      </c>
      <c r="AG524" s="1" t="str">
        <v>DPLUS190</v>
      </c>
      <c r="AH524" s="1">
        <v>11</v>
      </c>
      <c r="AI524" s="1">
        <v>2024</v>
      </c>
      <c r="AJ524" s="1" t="str">
        <v>Y1</v>
      </c>
      <c r="AK524" s="1" t="str">
        <v>DPLUS-D12</v>
      </c>
      <c r="AL524" s="1">
        <v>4</v>
      </c>
    </row>
    <row r="525" spans="1:38" ht="14.25" customHeight="1" x14ac:dyDescent="0.25">
      <c r="A525" t="s">
        <v>329</v>
      </c>
      <c r="B525" s="2">
        <v>11</v>
      </c>
      <c r="C525">
        <v>2024</v>
      </c>
      <c r="D525" t="s">
        <v>822</v>
      </c>
      <c r="E525" t="s">
        <v>843</v>
      </c>
      <c r="F525">
        <v>7</v>
      </c>
      <c r="AG525" s="1" t="str">
        <v>DPLUS191</v>
      </c>
      <c r="AH525" s="1">
        <v>11</v>
      </c>
      <c r="AI525" s="1">
        <v>2024</v>
      </c>
      <c r="AJ525" s="1" t="str">
        <v>Y1</v>
      </c>
      <c r="AK525" s="1" t="str">
        <v>DPLUS-A01 </v>
      </c>
      <c r="AL525" s="1">
        <v>7</v>
      </c>
    </row>
    <row r="526" spans="1:38" ht="14.25" customHeight="1" x14ac:dyDescent="0.25">
      <c r="A526" t="s">
        <v>329</v>
      </c>
      <c r="B526" s="2">
        <v>11</v>
      </c>
      <c r="C526">
        <v>2024</v>
      </c>
      <c r="D526" t="s">
        <v>822</v>
      </c>
      <c r="E526" t="s">
        <v>830</v>
      </c>
      <c r="F526">
        <v>1</v>
      </c>
      <c r="AG526" s="1" t="str">
        <v>DPLUS191</v>
      </c>
      <c r="AH526" s="1">
        <v>11</v>
      </c>
      <c r="AI526" s="1">
        <v>2024</v>
      </c>
      <c r="AJ526" s="1" t="str">
        <v>Y1</v>
      </c>
      <c r="AK526" s="1" t="str">
        <v>DPLUS-A03 </v>
      </c>
      <c r="AL526" s="1">
        <v>1</v>
      </c>
    </row>
    <row r="527" spans="1:38" ht="14.25" customHeight="1" x14ac:dyDescent="0.25">
      <c r="A527" t="s">
        <v>329</v>
      </c>
      <c r="B527" s="2">
        <v>11</v>
      </c>
      <c r="C527">
        <v>2024</v>
      </c>
      <c r="D527" t="s">
        <v>822</v>
      </c>
      <c r="E527" t="s">
        <v>831</v>
      </c>
      <c r="F527">
        <v>0</v>
      </c>
      <c r="AG527" s="1" t="str">
        <v>DPLUS191</v>
      </c>
      <c r="AH527" s="1">
        <v>11</v>
      </c>
      <c r="AI527" s="1">
        <v>2024</v>
      </c>
      <c r="AJ527" s="1" t="str">
        <v>Y1</v>
      </c>
      <c r="AK527" s="1" t="str">
        <v>DPLUS-B02 </v>
      </c>
      <c r="AL527" s="1">
        <v>0</v>
      </c>
    </row>
    <row r="528" spans="1:38" ht="14.25" customHeight="1" x14ac:dyDescent="0.25">
      <c r="A528" t="s">
        <v>329</v>
      </c>
      <c r="B528" s="2">
        <v>11</v>
      </c>
      <c r="C528">
        <v>2024</v>
      </c>
      <c r="D528" t="s">
        <v>822</v>
      </c>
      <c r="E528" t="s">
        <v>844</v>
      </c>
      <c r="F528">
        <v>0</v>
      </c>
      <c r="AG528" s="1" t="str">
        <v>DPLUS191</v>
      </c>
      <c r="AH528" s="1">
        <v>11</v>
      </c>
      <c r="AI528" s="1">
        <v>2024</v>
      </c>
      <c r="AJ528" s="1" t="str">
        <v>Y1</v>
      </c>
      <c r="AK528" s="1" t="str">
        <v>DPLUS-B05 </v>
      </c>
      <c r="AL528" s="1">
        <v>0</v>
      </c>
    </row>
    <row r="529" spans="1:38" ht="14.25" customHeight="1" x14ac:dyDescent="0.25">
      <c r="A529" t="s">
        <v>329</v>
      </c>
      <c r="B529" s="2">
        <v>11</v>
      </c>
      <c r="C529">
        <v>2024</v>
      </c>
      <c r="D529" t="s">
        <v>822</v>
      </c>
      <c r="E529" t="s">
        <v>845</v>
      </c>
      <c r="F529">
        <v>0</v>
      </c>
      <c r="AG529" s="1" t="str">
        <v>DPLUS191</v>
      </c>
      <c r="AH529" s="1">
        <v>11</v>
      </c>
      <c r="AI529" s="1">
        <v>2024</v>
      </c>
      <c r="AJ529" s="1" t="str">
        <v>Y1</v>
      </c>
      <c r="AK529" s="1" t="str">
        <v>DPLUS-D12 </v>
      </c>
      <c r="AL529" s="1">
        <v>0</v>
      </c>
    </row>
    <row r="530" spans="1:38" ht="14.25" customHeight="1" x14ac:dyDescent="0.25">
      <c r="A530" t="s">
        <v>330</v>
      </c>
      <c r="B530" s="2">
        <v>11</v>
      </c>
      <c r="C530">
        <v>2024</v>
      </c>
      <c r="D530" t="s">
        <v>822</v>
      </c>
      <c r="E530" t="s">
        <v>164</v>
      </c>
      <c r="F530">
        <v>0</v>
      </c>
      <c r="AG530" s="1" t="str">
        <v>DPLUS192</v>
      </c>
      <c r="AH530" s="1">
        <v>11</v>
      </c>
      <c r="AI530" s="1">
        <v>2024</v>
      </c>
      <c r="AJ530" s="1" t="str">
        <v>Y1</v>
      </c>
      <c r="AK530" s="1" t="str">
        <v>DPLUS-A01</v>
      </c>
      <c r="AL530" s="1">
        <v>0</v>
      </c>
    </row>
    <row r="531" spans="1:38" ht="14.25" customHeight="1" x14ac:dyDescent="0.25">
      <c r="A531" t="s">
        <v>330</v>
      </c>
      <c r="B531" s="2">
        <v>11</v>
      </c>
      <c r="C531">
        <v>2024</v>
      </c>
      <c r="D531" t="s">
        <v>822</v>
      </c>
      <c r="E531" t="s">
        <v>167</v>
      </c>
      <c r="F531">
        <v>1</v>
      </c>
      <c r="AG531" s="1" t="str">
        <v>DPLUS192</v>
      </c>
      <c r="AH531" s="1">
        <v>11</v>
      </c>
      <c r="AI531" s="1">
        <v>2024</v>
      </c>
      <c r="AJ531" s="1" t="str">
        <v>Y1</v>
      </c>
      <c r="AK531" s="1" t="str">
        <v>DPLUS-A02</v>
      </c>
      <c r="AL531" s="1">
        <v>1</v>
      </c>
    </row>
    <row r="532" spans="1:38" ht="14.25" customHeight="1" x14ac:dyDescent="0.25">
      <c r="A532" t="s">
        <v>330</v>
      </c>
      <c r="B532" s="2">
        <v>11</v>
      </c>
      <c r="C532">
        <v>2024</v>
      </c>
      <c r="D532" t="s">
        <v>822</v>
      </c>
      <c r="E532" t="s">
        <v>169</v>
      </c>
      <c r="F532">
        <v>1</v>
      </c>
      <c r="AG532" s="1" t="str">
        <v>DPLUS192</v>
      </c>
      <c r="AH532" s="1">
        <v>11</v>
      </c>
      <c r="AI532" s="1">
        <v>2024</v>
      </c>
      <c r="AJ532" s="1" t="str">
        <v>Y1</v>
      </c>
      <c r="AK532" s="1" t="str">
        <v>DPLUS-A03</v>
      </c>
      <c r="AL532" s="1">
        <v>1</v>
      </c>
    </row>
    <row r="533" spans="1:38" ht="14.25" customHeight="1" x14ac:dyDescent="0.25">
      <c r="A533" t="s">
        <v>330</v>
      </c>
      <c r="B533" s="2">
        <v>11</v>
      </c>
      <c r="C533">
        <v>2024</v>
      </c>
      <c r="D533" t="s">
        <v>822</v>
      </c>
      <c r="E533" t="s">
        <v>829</v>
      </c>
      <c r="F533">
        <v>2</v>
      </c>
      <c r="AG533" s="1" t="str">
        <v>DPLUS192</v>
      </c>
      <c r="AH533" s="1">
        <v>11</v>
      </c>
      <c r="AI533" s="1">
        <v>2024</v>
      </c>
      <c r="AJ533" s="1" t="str">
        <v>Y1</v>
      </c>
      <c r="AK533" s="1" t="str">
        <v>DPLUS-A07 </v>
      </c>
      <c r="AL533" s="1">
        <v>2</v>
      </c>
    </row>
    <row r="534" spans="1:38" ht="14.25" customHeight="1" x14ac:dyDescent="0.25">
      <c r="A534" t="s">
        <v>330</v>
      </c>
      <c r="B534" s="2">
        <v>11</v>
      </c>
      <c r="C534">
        <v>2024</v>
      </c>
      <c r="D534" t="s">
        <v>822</v>
      </c>
      <c r="E534" t="s">
        <v>844</v>
      </c>
      <c r="F534">
        <v>69</v>
      </c>
      <c r="AG534" s="1" t="str">
        <v>DPLUS192</v>
      </c>
      <c r="AH534" s="1">
        <v>11</v>
      </c>
      <c r="AI534" s="1">
        <v>2024</v>
      </c>
      <c r="AJ534" s="1" t="str">
        <v>Y1</v>
      </c>
      <c r="AK534" s="1" t="str">
        <v>DPLUS-B05 </v>
      </c>
      <c r="AL534" s="1">
        <v>69</v>
      </c>
    </row>
    <row r="535" spans="1:38" ht="14.25" customHeight="1" x14ac:dyDescent="0.25">
      <c r="A535" t="s">
        <v>330</v>
      </c>
      <c r="B535" s="2">
        <v>11</v>
      </c>
      <c r="C535">
        <v>2024</v>
      </c>
      <c r="D535" t="s">
        <v>822</v>
      </c>
      <c r="E535" t="s">
        <v>827</v>
      </c>
      <c r="F535">
        <v>0</v>
      </c>
      <c r="AG535" s="1" t="str">
        <v>DPLUS192</v>
      </c>
      <c r="AH535" s="1">
        <v>11</v>
      </c>
      <c r="AI535" s="1">
        <v>2024</v>
      </c>
      <c r="AJ535" s="1" t="str">
        <v>Y1</v>
      </c>
      <c r="AK535" s="1" t="str">
        <v>DPLUS-C05 </v>
      </c>
      <c r="AL535" s="1">
        <v>0</v>
      </c>
    </row>
    <row r="536" spans="1:38" ht="14.25" customHeight="1" x14ac:dyDescent="0.25">
      <c r="A536" t="s">
        <v>330</v>
      </c>
      <c r="B536" s="2">
        <v>11</v>
      </c>
      <c r="C536">
        <v>2024</v>
      </c>
      <c r="D536" t="s">
        <v>822</v>
      </c>
      <c r="E536" t="s">
        <v>828</v>
      </c>
      <c r="F536">
        <v>0</v>
      </c>
      <c r="AG536" s="1" t="str">
        <v>DPLUS192</v>
      </c>
      <c r="AH536" s="1">
        <v>11</v>
      </c>
      <c r="AI536" s="1">
        <v>2024</v>
      </c>
      <c r="AJ536" s="1" t="str">
        <v>Y1</v>
      </c>
      <c r="AK536" s="1" t="str">
        <v>DPLUS-C12 </v>
      </c>
      <c r="AL536" s="1">
        <v>0</v>
      </c>
    </row>
    <row r="537" spans="1:38" ht="14.25" customHeight="1" x14ac:dyDescent="0.25">
      <c r="A537" t="s">
        <v>330</v>
      </c>
      <c r="B537" s="2">
        <v>11</v>
      </c>
      <c r="C537">
        <v>2024</v>
      </c>
      <c r="D537" t="s">
        <v>822</v>
      </c>
      <c r="E537" t="s">
        <v>240</v>
      </c>
      <c r="F537">
        <v>5</v>
      </c>
      <c r="AG537" s="1" t="str">
        <v>DPLUS192</v>
      </c>
      <c r="AH537" s="1">
        <v>11</v>
      </c>
      <c r="AI537" s="1">
        <v>2024</v>
      </c>
      <c r="AJ537" s="1" t="str">
        <v>Y1</v>
      </c>
      <c r="AK537" s="1" t="str">
        <v>DPLUS-C13</v>
      </c>
      <c r="AL537" s="1">
        <v>5</v>
      </c>
    </row>
    <row r="538" spans="1:38" ht="14.25" customHeight="1" x14ac:dyDescent="0.25">
      <c r="A538" t="s">
        <v>330</v>
      </c>
      <c r="B538" s="2">
        <v>11</v>
      </c>
      <c r="C538">
        <v>2024</v>
      </c>
      <c r="D538" t="s">
        <v>822</v>
      </c>
      <c r="E538" t="s">
        <v>259</v>
      </c>
      <c r="F538">
        <v>0</v>
      </c>
      <c r="AG538" s="1" t="str">
        <v>DPLUS192</v>
      </c>
      <c r="AH538" s="1">
        <v>11</v>
      </c>
      <c r="AI538" s="1">
        <v>2024</v>
      </c>
      <c r="AJ538" s="1" t="str">
        <v>Y1</v>
      </c>
      <c r="AK538" s="1" t="str">
        <v>DPLUS-D02</v>
      </c>
      <c r="AL538" s="1">
        <v>0</v>
      </c>
    </row>
    <row r="539" spans="1:38" ht="14.25" customHeight="1" x14ac:dyDescent="0.25">
      <c r="A539" t="s">
        <v>330</v>
      </c>
      <c r="B539" s="2">
        <v>11</v>
      </c>
      <c r="C539">
        <v>2024</v>
      </c>
      <c r="D539" t="s">
        <v>822</v>
      </c>
      <c r="E539" t="s">
        <v>287</v>
      </c>
      <c r="F539">
        <v>0</v>
      </c>
      <c r="AG539" s="1" t="str">
        <v>DPLUS192</v>
      </c>
      <c r="AH539" s="1">
        <v>11</v>
      </c>
      <c r="AI539" s="1">
        <v>2024</v>
      </c>
      <c r="AJ539" s="1" t="str">
        <v>Y1</v>
      </c>
      <c r="AK539" s="1" t="str">
        <v>DPLUS-D18</v>
      </c>
      <c r="AL539" s="1">
        <v>0</v>
      </c>
    </row>
    <row r="540" spans="1:38" ht="14.25" customHeight="1" x14ac:dyDescent="0.25">
      <c r="A540" t="s">
        <v>331</v>
      </c>
      <c r="B540" s="2">
        <v>11</v>
      </c>
      <c r="C540">
        <v>2024</v>
      </c>
      <c r="D540" t="s">
        <v>822</v>
      </c>
      <c r="E540" t="s">
        <v>830</v>
      </c>
      <c r="F540">
        <v>2</v>
      </c>
      <c r="AG540" s="1" t="str">
        <v>DPLUS195</v>
      </c>
      <c r="AH540" s="1">
        <v>11</v>
      </c>
      <c r="AI540" s="1">
        <v>2024</v>
      </c>
      <c r="AJ540" s="1" t="str">
        <v>Y1</v>
      </c>
      <c r="AK540" s="1" t="str">
        <v>DPLUS-A03 </v>
      </c>
      <c r="AL540" s="1">
        <v>2</v>
      </c>
    </row>
    <row r="541" spans="1:38" ht="14.25" customHeight="1" x14ac:dyDescent="0.25">
      <c r="A541" t="s">
        <v>331</v>
      </c>
      <c r="B541" s="2">
        <v>11</v>
      </c>
      <c r="C541">
        <v>2024</v>
      </c>
      <c r="D541" t="s">
        <v>822</v>
      </c>
      <c r="E541" t="s">
        <v>829</v>
      </c>
      <c r="F541">
        <v>0</v>
      </c>
      <c r="AG541" s="1" t="str">
        <v>DPLUS195</v>
      </c>
      <c r="AH541" s="1">
        <v>11</v>
      </c>
      <c r="AI541" s="1">
        <v>2024</v>
      </c>
      <c r="AJ541" s="1" t="str">
        <v>Y1</v>
      </c>
      <c r="AK541" s="1" t="str">
        <v>DPLUS-A07 </v>
      </c>
      <c r="AL541" s="1">
        <v>0</v>
      </c>
    </row>
    <row r="542" spans="1:38" ht="14.25" customHeight="1" x14ac:dyDescent="0.25">
      <c r="A542" t="s">
        <v>331</v>
      </c>
      <c r="B542" s="2">
        <v>11</v>
      </c>
      <c r="C542">
        <v>2024</v>
      </c>
      <c r="D542" t="s">
        <v>822</v>
      </c>
      <c r="E542" t="s">
        <v>846</v>
      </c>
      <c r="F542">
        <v>11</v>
      </c>
      <c r="AG542" s="1" t="str">
        <v>DPLUS195</v>
      </c>
      <c r="AH542" s="1">
        <v>11</v>
      </c>
      <c r="AI542" s="1">
        <v>2024</v>
      </c>
      <c r="AJ542" s="1" t="str">
        <v>Y1</v>
      </c>
      <c r="AK542" s="1" t="str">
        <v>DPLUS-A04 </v>
      </c>
      <c r="AL542" s="1">
        <v>11</v>
      </c>
    </row>
    <row r="543" spans="1:38" ht="14.25" customHeight="1" x14ac:dyDescent="0.25">
      <c r="A543" t="s">
        <v>331</v>
      </c>
      <c r="B543" s="2">
        <v>11</v>
      </c>
      <c r="C543">
        <v>2024</v>
      </c>
      <c r="D543" t="s">
        <v>822</v>
      </c>
      <c r="E543" t="s">
        <v>832</v>
      </c>
      <c r="F543">
        <v>0</v>
      </c>
      <c r="AG543" s="1" t="str">
        <v>DPLUS195</v>
      </c>
      <c r="AH543" s="1">
        <v>11</v>
      </c>
      <c r="AI543" s="1">
        <v>2024</v>
      </c>
      <c r="AJ543" s="1" t="str">
        <v>Y1</v>
      </c>
      <c r="AK543" s="1" t="str">
        <v>DPLUS-B11 </v>
      </c>
      <c r="AL543" s="1">
        <v>0</v>
      </c>
    </row>
    <row r="544" spans="1:38" ht="14.25" customHeight="1" x14ac:dyDescent="0.25">
      <c r="A544" t="s">
        <v>331</v>
      </c>
      <c r="B544" s="2">
        <v>11</v>
      </c>
      <c r="C544">
        <v>2024</v>
      </c>
      <c r="D544" t="s">
        <v>822</v>
      </c>
      <c r="E544" t="s">
        <v>827</v>
      </c>
      <c r="F544">
        <v>1</v>
      </c>
      <c r="AG544" s="1" t="str">
        <v>DPLUS195</v>
      </c>
      <c r="AH544" s="1">
        <v>11</v>
      </c>
      <c r="AI544" s="1">
        <v>2024</v>
      </c>
      <c r="AJ544" s="1" t="str">
        <v>Y1</v>
      </c>
      <c r="AK544" s="1" t="str">
        <v>DPLUS-C05 </v>
      </c>
      <c r="AL544" s="1">
        <v>1</v>
      </c>
    </row>
    <row r="545" spans="1:38" ht="14.25" customHeight="1" x14ac:dyDescent="0.25">
      <c r="A545" t="s">
        <v>331</v>
      </c>
      <c r="B545" s="2">
        <v>11</v>
      </c>
      <c r="C545">
        <v>2024</v>
      </c>
      <c r="D545" t="s">
        <v>822</v>
      </c>
      <c r="E545" t="s">
        <v>828</v>
      </c>
      <c r="F545">
        <v>11</v>
      </c>
      <c r="AG545" s="1" t="str">
        <v>DPLUS195</v>
      </c>
      <c r="AH545" s="1">
        <v>11</v>
      </c>
      <c r="AI545" s="1">
        <v>2024</v>
      </c>
      <c r="AJ545" s="1" t="str">
        <v>Y1</v>
      </c>
      <c r="AK545" s="1" t="str">
        <v>DPLUS-C12 </v>
      </c>
      <c r="AL545" s="1">
        <v>11</v>
      </c>
    </row>
    <row r="546" spans="1:38" ht="14.25" customHeight="1" x14ac:dyDescent="0.25">
      <c r="A546" t="s">
        <v>331</v>
      </c>
      <c r="B546" s="2">
        <v>11</v>
      </c>
      <c r="C546">
        <v>2024</v>
      </c>
      <c r="D546" t="s">
        <v>822</v>
      </c>
      <c r="E546" t="s">
        <v>847</v>
      </c>
      <c r="F546">
        <v>0</v>
      </c>
      <c r="AG546" s="1" t="str">
        <v>DPLUS195</v>
      </c>
      <c r="AH546" s="1">
        <v>11</v>
      </c>
      <c r="AI546" s="1">
        <v>2024</v>
      </c>
      <c r="AJ546" s="1" t="str">
        <v>Y1</v>
      </c>
      <c r="AK546" s="1" t="str">
        <v>DPLUS-C14 </v>
      </c>
      <c r="AL546" s="1">
        <v>0</v>
      </c>
    </row>
    <row r="547" spans="1:38" ht="14.25" customHeight="1" x14ac:dyDescent="0.25">
      <c r="A547" t="s">
        <v>331</v>
      </c>
      <c r="B547" s="2">
        <v>11</v>
      </c>
      <c r="C547">
        <v>2024</v>
      </c>
      <c r="D547" t="s">
        <v>822</v>
      </c>
      <c r="E547" t="s">
        <v>842</v>
      </c>
      <c r="F547">
        <v>0</v>
      </c>
      <c r="AG547" s="1" t="str">
        <v>DPLUS195</v>
      </c>
      <c r="AH547" s="1">
        <v>11</v>
      </c>
      <c r="AI547" s="1">
        <v>2024</v>
      </c>
      <c r="AJ547" s="1" t="str">
        <v>Y1</v>
      </c>
      <c r="AK547" s="1" t="str">
        <v>DPLUS-C16 </v>
      </c>
      <c r="AL547" s="1">
        <v>0</v>
      </c>
    </row>
    <row r="548" spans="1:38" ht="14.25" customHeight="1" x14ac:dyDescent="0.25">
      <c r="A548" t="s">
        <v>331</v>
      </c>
      <c r="B548" s="2">
        <v>11</v>
      </c>
      <c r="C548">
        <v>2024</v>
      </c>
      <c r="D548" t="s">
        <v>822</v>
      </c>
      <c r="E548" t="s">
        <v>836</v>
      </c>
      <c r="F548">
        <v>0</v>
      </c>
      <c r="AG548" s="1" t="str">
        <v>DPLUS195</v>
      </c>
      <c r="AH548" s="1">
        <v>11</v>
      </c>
      <c r="AI548" s="1">
        <v>2024</v>
      </c>
      <c r="AJ548" s="1" t="str">
        <v>Y1</v>
      </c>
      <c r="AK548" s="1" t="str">
        <v>DPLUS-C17 </v>
      </c>
      <c r="AL548" s="1">
        <v>0</v>
      </c>
    </row>
    <row r="549" spans="1:38" ht="14.25" customHeight="1" x14ac:dyDescent="0.25">
      <c r="A549" t="s">
        <v>331</v>
      </c>
      <c r="B549" s="2">
        <v>11</v>
      </c>
      <c r="C549">
        <v>2024</v>
      </c>
      <c r="D549" t="s">
        <v>822</v>
      </c>
      <c r="E549" t="s">
        <v>838</v>
      </c>
      <c r="F549">
        <v>0</v>
      </c>
      <c r="AG549" s="1" t="str">
        <v>DPLUS195</v>
      </c>
      <c r="AH549" s="1">
        <v>11</v>
      </c>
      <c r="AI549" s="1">
        <v>2024</v>
      </c>
      <c r="AJ549" s="1" t="str">
        <v>Y1</v>
      </c>
      <c r="AK549" s="1" t="str">
        <v>DPLUS-C19 </v>
      </c>
      <c r="AL549" s="1">
        <v>0</v>
      </c>
    </row>
    <row r="550" spans="1:38" ht="14.25" customHeight="1" x14ac:dyDescent="0.25">
      <c r="A550" t="s">
        <v>332</v>
      </c>
      <c r="B550" s="2">
        <v>11</v>
      </c>
      <c r="C550">
        <v>2024</v>
      </c>
      <c r="D550" t="s">
        <v>822</v>
      </c>
      <c r="E550" t="s">
        <v>164</v>
      </c>
      <c r="F550">
        <v>6</v>
      </c>
      <c r="AG550" s="1" t="str">
        <v>DPLUS196</v>
      </c>
      <c r="AH550" s="1">
        <v>11</v>
      </c>
      <c r="AI550" s="1">
        <v>2024</v>
      </c>
      <c r="AJ550" s="1" t="str">
        <v>Y1</v>
      </c>
      <c r="AK550" s="1" t="str">
        <v>DPLUS-A01</v>
      </c>
      <c r="AL550" s="1">
        <v>6</v>
      </c>
    </row>
    <row r="551" spans="1:38" ht="14.25" customHeight="1" x14ac:dyDescent="0.25">
      <c r="A551" t="s">
        <v>332</v>
      </c>
      <c r="B551" s="2">
        <v>11</v>
      </c>
      <c r="C551">
        <v>2024</v>
      </c>
      <c r="D551" t="s">
        <v>822</v>
      </c>
      <c r="E551" t="s">
        <v>826</v>
      </c>
      <c r="F551">
        <v>0</v>
      </c>
      <c r="AG551" s="1" t="str">
        <v>DPLUS196</v>
      </c>
      <c r="AH551" s="1">
        <v>11</v>
      </c>
      <c r="AI551" s="1">
        <v>2024</v>
      </c>
      <c r="AJ551" s="1" t="str">
        <v>Y1</v>
      </c>
      <c r="AK551" s="1" t="str">
        <v>DPLUS-A04  </v>
      </c>
      <c r="AL551" s="1">
        <v>0</v>
      </c>
    </row>
    <row r="552" spans="1:38" ht="14.25" customHeight="1" x14ac:dyDescent="0.25">
      <c r="A552" t="s">
        <v>332</v>
      </c>
      <c r="B552" s="2">
        <v>11</v>
      </c>
      <c r="C552">
        <v>2024</v>
      </c>
      <c r="D552" t="s">
        <v>822</v>
      </c>
      <c r="E552" t="s">
        <v>190</v>
      </c>
      <c r="F552">
        <v>0</v>
      </c>
      <c r="AG552" s="1" t="str">
        <v>DPLUS196</v>
      </c>
      <c r="AH552" s="1">
        <v>11</v>
      </c>
      <c r="AI552" s="1">
        <v>2024</v>
      </c>
      <c r="AJ552" s="1" t="str">
        <v>Y1</v>
      </c>
      <c r="AK552" s="1" t="str">
        <v>DPLUS-B02</v>
      </c>
      <c r="AL552" s="1">
        <v>0</v>
      </c>
    </row>
    <row r="553" spans="1:38" ht="14.25" customHeight="1" x14ac:dyDescent="0.25">
      <c r="A553" t="s">
        <v>332</v>
      </c>
      <c r="B553" s="2">
        <v>11</v>
      </c>
      <c r="C553">
        <v>2024</v>
      </c>
      <c r="D553" t="s">
        <v>822</v>
      </c>
      <c r="E553" t="s">
        <v>210</v>
      </c>
      <c r="F553">
        <v>0</v>
      </c>
      <c r="AG553" s="1" t="str">
        <v>DPLUS196</v>
      </c>
      <c r="AH553" s="1">
        <v>11</v>
      </c>
      <c r="AI553" s="1">
        <v>2024</v>
      </c>
      <c r="AJ553" s="1" t="str">
        <v>Y1</v>
      </c>
      <c r="AK553" s="1" t="str">
        <v>DPLUS-B11</v>
      </c>
      <c r="AL553" s="1">
        <v>0</v>
      </c>
    </row>
    <row r="554" spans="1:38" ht="14.25" customHeight="1" x14ac:dyDescent="0.25">
      <c r="A554" t="s">
        <v>332</v>
      </c>
      <c r="B554" s="2">
        <v>11</v>
      </c>
      <c r="C554">
        <v>2024</v>
      </c>
      <c r="D554" t="s">
        <v>822</v>
      </c>
      <c r="E554" t="s">
        <v>217</v>
      </c>
      <c r="F554">
        <v>1</v>
      </c>
      <c r="AG554" s="1" t="str">
        <v>DPLUS196</v>
      </c>
      <c r="AH554" s="1">
        <v>11</v>
      </c>
      <c r="AI554" s="1">
        <v>2024</v>
      </c>
      <c r="AJ554" s="1" t="str">
        <v>Y1</v>
      </c>
      <c r="AK554" s="1" t="str">
        <v>DPLUS-C02</v>
      </c>
      <c r="AL554" s="1">
        <v>1</v>
      </c>
    </row>
    <row r="555" spans="1:38" ht="14.25" customHeight="1" x14ac:dyDescent="0.25">
      <c r="A555" t="s">
        <v>332</v>
      </c>
      <c r="B555" s="2">
        <v>11</v>
      </c>
      <c r="C555">
        <v>2024</v>
      </c>
      <c r="D555" t="s">
        <v>822</v>
      </c>
      <c r="E555" t="s">
        <v>219</v>
      </c>
      <c r="F555">
        <v>0</v>
      </c>
      <c r="AG555" s="1" t="str">
        <v>DPLUS196</v>
      </c>
      <c r="AH555" s="1">
        <v>11</v>
      </c>
      <c r="AI555" s="1">
        <v>2024</v>
      </c>
      <c r="AJ555" s="1" t="str">
        <v>Y1</v>
      </c>
      <c r="AK555" s="1" t="str">
        <v>DPLUS-C03</v>
      </c>
      <c r="AL555" s="1">
        <v>0</v>
      </c>
    </row>
    <row r="556" spans="1:38" ht="14.25" customHeight="1" x14ac:dyDescent="0.25">
      <c r="A556" t="s">
        <v>332</v>
      </c>
      <c r="B556" s="2">
        <v>11</v>
      </c>
      <c r="C556">
        <v>2024</v>
      </c>
      <c r="D556" t="s">
        <v>822</v>
      </c>
      <c r="E556" t="s">
        <v>263</v>
      </c>
      <c r="F556">
        <v>0</v>
      </c>
      <c r="AG556" s="1" t="str">
        <v>DPLUS196</v>
      </c>
      <c r="AH556" s="1">
        <v>11</v>
      </c>
      <c r="AI556" s="1">
        <v>2024</v>
      </c>
      <c r="AJ556" s="1" t="str">
        <v>Y1</v>
      </c>
      <c r="AK556" s="1" t="str">
        <v>DPLUS-D04</v>
      </c>
      <c r="AL556" s="1">
        <v>0</v>
      </c>
    </row>
    <row r="557" spans="1:38" ht="14.25" customHeight="1" x14ac:dyDescent="0.25">
      <c r="A557" t="s">
        <v>332</v>
      </c>
      <c r="B557">
        <v>11</v>
      </c>
      <c r="C557">
        <v>2024</v>
      </c>
      <c r="D557" t="s">
        <v>822</v>
      </c>
      <c r="E557" t="s">
        <v>279</v>
      </c>
      <c r="F557">
        <v>210</v>
      </c>
      <c r="AG557" s="1" t="str">
        <v>DPLUS196</v>
      </c>
      <c r="AH557" s="1">
        <v>11</v>
      </c>
      <c r="AI557" s="1">
        <v>2024</v>
      </c>
      <c r="AJ557" s="1" t="str">
        <v>Y1</v>
      </c>
      <c r="AK557" s="1" t="str">
        <v>DPLUS-D12</v>
      </c>
      <c r="AL557" s="1">
        <v>210</v>
      </c>
    </row>
  </sheetData>
  <phoneticPr fontId="3" type="noConversion"/>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 r:id="rId2"/>
  <legacyDrawingHF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C9535-274A-4FC0-ACD0-D788491AFE11}">
  <dimension ref="A1:I61"/>
  <sheetViews>
    <sheetView showRuler="0" topLeftCell="A40" zoomScaleNormal="100" zoomScaleSheetLayoutView="400" zoomScalePageLayoutView="90" workbookViewId="0">
      <selection activeCell="X30" sqref="X30"/>
    </sheetView>
  </sheetViews>
  <sheetFormatPr defaultColWidth="9.28515625" defaultRowHeight="14.25" customHeight="1" x14ac:dyDescent="0.2"/>
  <cols>
    <col min="1" max="2" width="9.28515625" style="1"/>
    <col min="3" max="3" width="11.42578125" style="1" bestFit="1" customWidth="1"/>
    <col min="4" max="5" width="10.85546875" style="1" bestFit="1" customWidth="1"/>
    <col min="6" max="6" width="9.28515625" style="1"/>
    <col min="7" max="8" width="10.85546875" style="1" bestFit="1" customWidth="1"/>
    <col min="9" max="16384" width="9.28515625" style="1"/>
  </cols>
  <sheetData>
    <row r="1" spans="1:9" ht="14.25" customHeight="1" x14ac:dyDescent="0.25">
      <c r="A1" s="393" t="s">
        <v>296</v>
      </c>
      <c r="B1" s="393" t="s">
        <v>297</v>
      </c>
      <c r="C1" s="395" t="s">
        <v>298</v>
      </c>
      <c r="D1" s="397" t="s">
        <v>299</v>
      </c>
      <c r="E1" s="398"/>
      <c r="F1" s="399" t="s">
        <v>300</v>
      </c>
      <c r="G1" s="397" t="s">
        <v>301</v>
      </c>
      <c r="H1" s="401"/>
      <c r="I1" s="391" t="s">
        <v>302</v>
      </c>
    </row>
    <row r="2" spans="1:9" ht="14.25" customHeight="1" x14ac:dyDescent="0.25">
      <c r="A2" s="394"/>
      <c r="B2" s="394"/>
      <c r="C2" s="396"/>
      <c r="D2" s="71" t="s">
        <v>303</v>
      </c>
      <c r="E2" s="71" t="s">
        <v>304</v>
      </c>
      <c r="F2" s="400"/>
      <c r="G2" s="71" t="s">
        <v>303</v>
      </c>
      <c r="H2" s="72" t="s">
        <v>304</v>
      </c>
      <c r="I2" s="392"/>
    </row>
    <row r="3" spans="1:9" ht="14.25" customHeight="1" x14ac:dyDescent="0.25">
      <c r="A3" s="115" t="str" cm="1">
        <f t="array" ref="A3:A61">_xlfn.UNIQUE(Table3[Ref])</f>
        <v>DPLUS089</v>
      </c>
      <c r="B3" s="116">
        <v>7</v>
      </c>
      <c r="C3" s="117">
        <v>278231</v>
      </c>
      <c r="D3" s="118">
        <v>0</v>
      </c>
      <c r="E3" s="118">
        <v>0</v>
      </c>
      <c r="F3" s="119">
        <f>IFERROR(D3/C3,0)</f>
        <v>0</v>
      </c>
      <c r="G3" s="119">
        <f t="shared" ref="G3:H4" si="0">IFERROR(E3/D3,0)</f>
        <v>0</v>
      </c>
      <c r="H3" s="119">
        <f t="shared" si="0"/>
        <v>0</v>
      </c>
      <c r="I3" s="70">
        <f>IFERROR(G3/C3,0)</f>
        <v>0</v>
      </c>
    </row>
    <row r="4" spans="1:9" ht="14.25" customHeight="1" x14ac:dyDescent="0.25">
      <c r="A4" s="108" t="str">
        <v>DPLUS102</v>
      </c>
      <c r="B4" s="109">
        <v>8</v>
      </c>
      <c r="C4" s="110">
        <v>306653</v>
      </c>
      <c r="D4" s="120">
        <v>0</v>
      </c>
      <c r="E4" s="120">
        <v>0</v>
      </c>
      <c r="F4" s="111">
        <f t="shared" ref="F4:H61" si="1">IFERROR(D4/C4,0)</f>
        <v>0</v>
      </c>
      <c r="G4" s="111">
        <f t="shared" si="0"/>
        <v>0</v>
      </c>
      <c r="H4" s="111">
        <f t="shared" si="0"/>
        <v>0</v>
      </c>
      <c r="I4" s="70">
        <f t="shared" ref="I4:I61" si="2">IFERROR(G4/C4,0)</f>
        <v>0</v>
      </c>
    </row>
    <row r="5" spans="1:9" ht="14.25" customHeight="1" x14ac:dyDescent="0.25">
      <c r="A5" s="108" t="str">
        <v>DPLUS109</v>
      </c>
      <c r="B5" s="109">
        <v>8</v>
      </c>
      <c r="C5" s="110">
        <v>283417</v>
      </c>
      <c r="D5" s="110">
        <v>29521</v>
      </c>
      <c r="E5" s="113">
        <v>107342</v>
      </c>
      <c r="F5" s="121">
        <f t="shared" si="1"/>
        <v>0.10416100657335305</v>
      </c>
      <c r="G5" s="111">
        <v>0</v>
      </c>
      <c r="H5" s="111">
        <v>0</v>
      </c>
      <c r="I5" s="70">
        <f t="shared" si="2"/>
        <v>0</v>
      </c>
    </row>
    <row r="6" spans="1:9" ht="14.25" customHeight="1" x14ac:dyDescent="0.25">
      <c r="A6" s="108" t="str">
        <v>DPLUS110</v>
      </c>
      <c r="B6" s="109">
        <v>8</v>
      </c>
      <c r="C6" s="110">
        <v>265889</v>
      </c>
      <c r="D6" s="110">
        <v>13954</v>
      </c>
      <c r="E6" s="110">
        <v>135000</v>
      </c>
      <c r="F6" s="121">
        <f t="shared" si="1"/>
        <v>5.2480546393419814E-2</v>
      </c>
      <c r="G6" s="111">
        <v>0</v>
      </c>
      <c r="H6" s="111">
        <v>0</v>
      </c>
      <c r="I6" s="70">
        <f t="shared" si="2"/>
        <v>0</v>
      </c>
    </row>
    <row r="7" spans="1:9" ht="14.25" customHeight="1" x14ac:dyDescent="0.25">
      <c r="A7" s="108" t="str">
        <v>DPLUS112</v>
      </c>
      <c r="B7" s="109">
        <v>8</v>
      </c>
      <c r="C7" s="110">
        <v>317282.57</v>
      </c>
      <c r="D7" s="111">
        <v>0</v>
      </c>
      <c r="E7" s="111">
        <v>0</v>
      </c>
      <c r="F7" s="111">
        <f t="shared" si="1"/>
        <v>0</v>
      </c>
      <c r="G7" s="111">
        <f t="shared" si="1"/>
        <v>0</v>
      </c>
      <c r="H7" s="111">
        <f t="shared" si="1"/>
        <v>0</v>
      </c>
      <c r="I7" s="70">
        <f t="shared" si="2"/>
        <v>0</v>
      </c>
    </row>
    <row r="8" spans="1:9" ht="14.25" customHeight="1" x14ac:dyDescent="0.25">
      <c r="A8" s="108" t="str">
        <v>DPLUS113</v>
      </c>
      <c r="B8" s="109">
        <v>8</v>
      </c>
      <c r="C8" s="110">
        <v>261894</v>
      </c>
      <c r="D8" s="111">
        <v>0</v>
      </c>
      <c r="E8" s="111">
        <v>0</v>
      </c>
      <c r="F8" s="111">
        <f t="shared" si="1"/>
        <v>0</v>
      </c>
      <c r="G8" s="111">
        <f t="shared" si="1"/>
        <v>0</v>
      </c>
      <c r="H8" s="111">
        <f t="shared" si="1"/>
        <v>0</v>
      </c>
      <c r="I8" s="70">
        <f t="shared" si="2"/>
        <v>0</v>
      </c>
    </row>
    <row r="9" spans="1:9" ht="14.25" customHeight="1" x14ac:dyDescent="0.25">
      <c r="A9" s="108" t="str">
        <v>DPLUS114</v>
      </c>
      <c r="B9" s="109">
        <v>8</v>
      </c>
      <c r="C9" s="110">
        <v>304743</v>
      </c>
      <c r="D9" s="110">
        <v>605.35</v>
      </c>
      <c r="E9" s="110">
        <v>6400</v>
      </c>
      <c r="F9" s="111">
        <f t="shared" si="1"/>
        <v>1.9864279081061747E-3</v>
      </c>
      <c r="G9" s="111">
        <v>0</v>
      </c>
      <c r="H9" s="111">
        <v>0</v>
      </c>
      <c r="I9" s="70">
        <f t="shared" si="2"/>
        <v>0</v>
      </c>
    </row>
    <row r="10" spans="1:9" ht="14.25" customHeight="1" x14ac:dyDescent="0.25">
      <c r="A10" s="108" t="str">
        <v>DPLUS118</v>
      </c>
      <c r="B10" s="109">
        <v>8</v>
      </c>
      <c r="C10" s="110">
        <v>84148</v>
      </c>
      <c r="D10" s="110">
        <v>36838.39</v>
      </c>
      <c r="E10" s="110">
        <v>61362.8</v>
      </c>
      <c r="F10" s="121">
        <f t="shared" si="1"/>
        <v>0.43778093359319292</v>
      </c>
      <c r="G10" s="111">
        <v>0</v>
      </c>
      <c r="H10" s="111">
        <v>0</v>
      </c>
      <c r="I10" s="70">
        <f t="shared" si="2"/>
        <v>0</v>
      </c>
    </row>
    <row r="11" spans="1:9" ht="14.25" customHeight="1" x14ac:dyDescent="0.25">
      <c r="A11" s="108" t="str">
        <v>DPLUS120</v>
      </c>
      <c r="B11" s="109">
        <v>8</v>
      </c>
      <c r="C11" s="110">
        <v>269233</v>
      </c>
      <c r="D11" s="111">
        <v>0</v>
      </c>
      <c r="E11" s="111">
        <v>0</v>
      </c>
      <c r="F11" s="111">
        <f t="shared" si="1"/>
        <v>0</v>
      </c>
      <c r="G11" s="111">
        <f t="shared" si="1"/>
        <v>0</v>
      </c>
      <c r="H11" s="111">
        <f t="shared" si="1"/>
        <v>0</v>
      </c>
      <c r="I11" s="70">
        <f t="shared" si="2"/>
        <v>0</v>
      </c>
    </row>
    <row r="12" spans="1:9" ht="14.25" customHeight="1" x14ac:dyDescent="0.25">
      <c r="A12" s="108" t="str">
        <v>DPLUS121</v>
      </c>
      <c r="B12" s="109">
        <v>8</v>
      </c>
      <c r="C12" s="110">
        <v>299603</v>
      </c>
      <c r="D12" s="111">
        <v>0</v>
      </c>
      <c r="E12" s="111">
        <v>0</v>
      </c>
      <c r="F12" s="111">
        <f t="shared" si="1"/>
        <v>0</v>
      </c>
      <c r="G12" s="111">
        <f t="shared" si="1"/>
        <v>0</v>
      </c>
      <c r="H12" s="111">
        <f t="shared" si="1"/>
        <v>0</v>
      </c>
      <c r="I12" s="70">
        <f t="shared" si="2"/>
        <v>0</v>
      </c>
    </row>
    <row r="13" spans="1:9" ht="14.25" customHeight="1" x14ac:dyDescent="0.25">
      <c r="A13" s="108" t="str">
        <v>DPLUS125</v>
      </c>
      <c r="B13" s="109">
        <v>9</v>
      </c>
      <c r="C13" s="110">
        <v>284755</v>
      </c>
      <c r="D13" s="110">
        <v>47000</v>
      </c>
      <c r="E13" s="113">
        <v>74450</v>
      </c>
      <c r="F13" s="121">
        <f t="shared" si="1"/>
        <v>0.16505416937367209</v>
      </c>
      <c r="G13" s="111">
        <v>0</v>
      </c>
      <c r="H13" s="111">
        <v>0</v>
      </c>
      <c r="I13" s="70">
        <f t="shared" si="2"/>
        <v>0</v>
      </c>
    </row>
    <row r="14" spans="1:9" ht="14.25" customHeight="1" x14ac:dyDescent="0.25">
      <c r="A14" s="108" t="str">
        <v>DPLUS126</v>
      </c>
      <c r="B14" s="109">
        <v>9</v>
      </c>
      <c r="C14" s="110">
        <v>499991</v>
      </c>
      <c r="D14" s="110">
        <v>44690</v>
      </c>
      <c r="E14" s="113">
        <v>93930</v>
      </c>
      <c r="F14" s="121">
        <f t="shared" si="1"/>
        <v>8.9381608868959642E-2</v>
      </c>
      <c r="G14" s="111">
        <v>0</v>
      </c>
      <c r="H14" s="111">
        <v>0</v>
      </c>
      <c r="I14" s="70">
        <f t="shared" si="2"/>
        <v>0</v>
      </c>
    </row>
    <row r="15" spans="1:9" ht="14.25" customHeight="1" x14ac:dyDescent="0.25">
      <c r="A15" s="108" t="str">
        <v>DPLUS127</v>
      </c>
      <c r="B15" s="109">
        <v>9</v>
      </c>
      <c r="C15" s="110">
        <v>314020</v>
      </c>
      <c r="D15" s="110">
        <v>101961</v>
      </c>
      <c r="E15" s="113">
        <v>111154</v>
      </c>
      <c r="F15" s="121">
        <f t="shared" si="1"/>
        <v>0.3246958792433603</v>
      </c>
      <c r="G15" s="113">
        <v>49844</v>
      </c>
      <c r="H15" s="113">
        <v>49844</v>
      </c>
      <c r="I15" s="122">
        <f t="shared" si="2"/>
        <v>0.15872874339214063</v>
      </c>
    </row>
    <row r="16" spans="1:9" ht="14.25" customHeight="1" x14ac:dyDescent="0.25">
      <c r="A16" s="108" t="str">
        <v>DPLUS128</v>
      </c>
      <c r="B16" s="109">
        <v>9</v>
      </c>
      <c r="C16" s="110">
        <v>484227</v>
      </c>
      <c r="D16" s="111">
        <v>0</v>
      </c>
      <c r="E16" s="111">
        <v>0</v>
      </c>
      <c r="F16" s="111">
        <f t="shared" si="1"/>
        <v>0</v>
      </c>
      <c r="G16" s="111">
        <f t="shared" si="1"/>
        <v>0</v>
      </c>
      <c r="H16" s="111">
        <f t="shared" si="1"/>
        <v>0</v>
      </c>
      <c r="I16" s="70">
        <f t="shared" si="2"/>
        <v>0</v>
      </c>
    </row>
    <row r="17" spans="1:9" ht="14.25" customHeight="1" x14ac:dyDescent="0.25">
      <c r="A17" s="108" t="str">
        <v>DPLUS130</v>
      </c>
      <c r="B17" s="109">
        <v>9</v>
      </c>
      <c r="C17" s="110">
        <v>228595</v>
      </c>
      <c r="D17" s="113">
        <v>75000</v>
      </c>
      <c r="E17" s="113">
        <v>75000</v>
      </c>
      <c r="F17" s="121">
        <f t="shared" si="1"/>
        <v>0.32809116559854767</v>
      </c>
      <c r="G17" s="111">
        <v>0</v>
      </c>
      <c r="H17" s="111">
        <v>0</v>
      </c>
      <c r="I17" s="70">
        <f t="shared" si="2"/>
        <v>0</v>
      </c>
    </row>
    <row r="18" spans="1:9" ht="14.25" customHeight="1" x14ac:dyDescent="0.25">
      <c r="A18" s="108" t="str">
        <v>DPLUS131</v>
      </c>
      <c r="B18" s="109">
        <v>9</v>
      </c>
      <c r="C18" s="110">
        <v>300576</v>
      </c>
      <c r="D18" s="113">
        <v>49300</v>
      </c>
      <c r="E18" s="113">
        <v>49768</v>
      </c>
      <c r="F18" s="121">
        <f t="shared" si="1"/>
        <v>0.16401841797082933</v>
      </c>
      <c r="G18" s="111">
        <v>0</v>
      </c>
      <c r="H18" s="111">
        <v>0</v>
      </c>
      <c r="I18" s="70">
        <f t="shared" si="2"/>
        <v>0</v>
      </c>
    </row>
    <row r="19" spans="1:9" ht="14.25" customHeight="1" x14ac:dyDescent="0.25">
      <c r="A19" s="108" t="str">
        <v>DPLUS133</v>
      </c>
      <c r="B19" s="109">
        <v>9</v>
      </c>
      <c r="C19" s="110">
        <v>58798</v>
      </c>
      <c r="D19" s="113">
        <v>51082</v>
      </c>
      <c r="E19" s="113">
        <v>51082</v>
      </c>
      <c r="F19" s="121">
        <f t="shared" si="1"/>
        <v>0.86877104663423921</v>
      </c>
      <c r="G19" s="111">
        <v>0</v>
      </c>
      <c r="H19" s="111">
        <v>0</v>
      </c>
      <c r="I19" s="70">
        <f t="shared" si="2"/>
        <v>0</v>
      </c>
    </row>
    <row r="20" spans="1:9" ht="14.25" customHeight="1" x14ac:dyDescent="0.25">
      <c r="A20" s="108" t="str">
        <v>DPLUS134</v>
      </c>
      <c r="B20" s="109">
        <v>9</v>
      </c>
      <c r="C20" s="110">
        <v>184191</v>
      </c>
      <c r="D20" s="113">
        <v>34539</v>
      </c>
      <c r="E20" s="113">
        <v>48302</v>
      </c>
      <c r="F20" s="121">
        <f t="shared" si="1"/>
        <v>0.18751730540580158</v>
      </c>
      <c r="G20" s="111">
        <v>0</v>
      </c>
      <c r="H20" s="111">
        <v>0</v>
      </c>
      <c r="I20" s="70">
        <f t="shared" si="2"/>
        <v>0</v>
      </c>
    </row>
    <row r="21" spans="1:9" ht="14.25" customHeight="1" x14ac:dyDescent="0.25">
      <c r="A21" s="108" t="str">
        <v>DPLUS135</v>
      </c>
      <c r="B21" s="109">
        <v>9</v>
      </c>
      <c r="C21" s="110">
        <v>182846</v>
      </c>
      <c r="D21" s="113">
        <v>38634</v>
      </c>
      <c r="E21" s="113">
        <v>42388</v>
      </c>
      <c r="F21" s="121">
        <f t="shared" si="1"/>
        <v>0.21129256314056638</v>
      </c>
      <c r="G21" s="111">
        <v>0</v>
      </c>
      <c r="H21" s="111">
        <v>0</v>
      </c>
      <c r="I21" s="70">
        <f t="shared" si="2"/>
        <v>0</v>
      </c>
    </row>
    <row r="22" spans="1:9" ht="14.25" customHeight="1" x14ac:dyDescent="0.25">
      <c r="A22" s="108" t="str">
        <v>DPLUS137</v>
      </c>
      <c r="B22" s="109">
        <v>9</v>
      </c>
      <c r="C22" s="110">
        <v>328144</v>
      </c>
      <c r="D22" s="110">
        <v>500000</v>
      </c>
      <c r="E22" s="110">
        <v>12264</v>
      </c>
      <c r="F22" s="121">
        <f t="shared" si="1"/>
        <v>1.5237212930908381</v>
      </c>
      <c r="G22" s="111">
        <v>0</v>
      </c>
      <c r="H22" s="111">
        <v>0</v>
      </c>
      <c r="I22" s="70">
        <f t="shared" si="2"/>
        <v>0</v>
      </c>
    </row>
    <row r="23" spans="1:9" ht="14.25" customHeight="1" x14ac:dyDescent="0.25">
      <c r="A23" s="108" t="str">
        <v>DPLUS138</v>
      </c>
      <c r="B23" s="109">
        <v>9</v>
      </c>
      <c r="C23" s="110">
        <v>73672</v>
      </c>
      <c r="D23" s="111">
        <v>0</v>
      </c>
      <c r="E23" s="111">
        <v>0</v>
      </c>
      <c r="F23" s="111">
        <f t="shared" si="1"/>
        <v>0</v>
      </c>
      <c r="G23" s="111">
        <f t="shared" si="1"/>
        <v>0</v>
      </c>
      <c r="H23" s="111">
        <f t="shared" si="1"/>
        <v>0</v>
      </c>
      <c r="I23" s="70">
        <f t="shared" si="2"/>
        <v>0</v>
      </c>
    </row>
    <row r="24" spans="1:9" ht="14.25" customHeight="1" x14ac:dyDescent="0.25">
      <c r="A24" s="108" t="str">
        <v>DPLUS140</v>
      </c>
      <c r="B24" s="109">
        <v>9</v>
      </c>
      <c r="C24" s="110">
        <v>207681</v>
      </c>
      <c r="D24" s="110">
        <v>12168</v>
      </c>
      <c r="E24" s="110">
        <v>31775</v>
      </c>
      <c r="F24" s="121">
        <f t="shared" si="1"/>
        <v>5.8589856558857095E-2</v>
      </c>
      <c r="G24" s="111">
        <v>0</v>
      </c>
      <c r="H24" s="111">
        <v>0</v>
      </c>
      <c r="I24" s="70">
        <f t="shared" si="2"/>
        <v>0</v>
      </c>
    </row>
    <row r="25" spans="1:9" ht="14.25" customHeight="1" x14ac:dyDescent="0.25">
      <c r="A25" s="108" t="str">
        <v>DPLUS141</v>
      </c>
      <c r="B25" s="109">
        <v>9</v>
      </c>
      <c r="C25" s="110">
        <v>342150</v>
      </c>
      <c r="D25" s="123">
        <v>12640</v>
      </c>
      <c r="E25" s="123">
        <v>15797</v>
      </c>
      <c r="F25" s="121">
        <f t="shared" si="1"/>
        <v>3.6942861318135324E-2</v>
      </c>
      <c r="G25" s="123">
        <v>3100</v>
      </c>
      <c r="H25" s="111">
        <v>0</v>
      </c>
      <c r="I25" s="124">
        <f>IFERROR(G25/C25,0)</f>
        <v>9.0603536460616696E-3</v>
      </c>
    </row>
    <row r="26" spans="1:9" ht="14.25" customHeight="1" x14ac:dyDescent="0.25">
      <c r="A26" s="108" t="str">
        <v>DPLUS144</v>
      </c>
      <c r="B26" s="109">
        <v>9</v>
      </c>
      <c r="C26" s="110">
        <v>323780</v>
      </c>
      <c r="D26" s="110">
        <v>122194</v>
      </c>
      <c r="E26" s="110">
        <v>199230</v>
      </c>
      <c r="F26" s="121">
        <f t="shared" si="1"/>
        <v>0.3773982333683365</v>
      </c>
      <c r="G26" s="111">
        <v>0</v>
      </c>
      <c r="H26" s="111">
        <v>0</v>
      </c>
      <c r="I26" s="70">
        <f t="shared" si="2"/>
        <v>0</v>
      </c>
    </row>
    <row r="27" spans="1:9" ht="14.25" customHeight="1" x14ac:dyDescent="0.25">
      <c r="A27" s="108" t="str">
        <v>DPLUS149</v>
      </c>
      <c r="B27" s="109">
        <v>9</v>
      </c>
      <c r="C27" s="110">
        <v>469653</v>
      </c>
      <c r="D27" s="110">
        <v>313570</v>
      </c>
      <c r="E27" s="110">
        <v>683047</v>
      </c>
      <c r="F27" s="121">
        <f t="shared" si="1"/>
        <v>0.66766314704686225</v>
      </c>
      <c r="G27" s="110">
        <v>6210</v>
      </c>
      <c r="H27" s="111">
        <v>0</v>
      </c>
      <c r="I27" s="125">
        <f>IFERROR(G27/C27,0)</f>
        <v>1.3222528121826114E-2</v>
      </c>
    </row>
    <row r="28" spans="1:9" ht="14.25" customHeight="1" x14ac:dyDescent="0.25">
      <c r="A28" s="108" t="str">
        <v>DPLUS151</v>
      </c>
      <c r="B28" s="109">
        <v>9</v>
      </c>
      <c r="C28" s="110">
        <v>355190</v>
      </c>
      <c r="D28" s="110">
        <v>93400</v>
      </c>
      <c r="E28" s="110">
        <v>172240</v>
      </c>
      <c r="F28" s="121">
        <f t="shared" si="1"/>
        <v>0.26295785354317408</v>
      </c>
      <c r="G28" s="111">
        <v>0</v>
      </c>
      <c r="H28" s="111">
        <v>0</v>
      </c>
      <c r="I28" s="70">
        <f t="shared" si="2"/>
        <v>0</v>
      </c>
    </row>
    <row r="29" spans="1:9" ht="14.25" customHeight="1" x14ac:dyDescent="0.25">
      <c r="A29" s="108" t="str">
        <v>DPLUS153</v>
      </c>
      <c r="B29" s="109">
        <v>9</v>
      </c>
      <c r="C29" s="110">
        <v>344905</v>
      </c>
      <c r="D29" s="110">
        <v>146032</v>
      </c>
      <c r="E29" s="110">
        <v>238243</v>
      </c>
      <c r="F29" s="121">
        <f t="shared" si="1"/>
        <v>0.4233977472057523</v>
      </c>
      <c r="G29" s="111">
        <v>0</v>
      </c>
      <c r="H29" s="111">
        <v>0</v>
      </c>
      <c r="I29" s="70">
        <f t="shared" si="2"/>
        <v>0</v>
      </c>
    </row>
    <row r="30" spans="1:9" ht="14.25" customHeight="1" x14ac:dyDescent="0.25">
      <c r="A30" s="108" t="str">
        <v>DPLUS155</v>
      </c>
      <c r="B30" s="109">
        <v>9</v>
      </c>
      <c r="C30" s="110">
        <v>293447</v>
      </c>
      <c r="D30" s="110">
        <v>238300</v>
      </c>
      <c r="E30" s="110">
        <v>515300</v>
      </c>
      <c r="F30" s="121">
        <f t="shared" si="1"/>
        <v>0.81207168585809364</v>
      </c>
      <c r="G30" s="110">
        <v>422000</v>
      </c>
      <c r="H30" s="110">
        <v>749000</v>
      </c>
      <c r="I30" s="122">
        <f t="shared" si="2"/>
        <v>1.4380791079820205</v>
      </c>
    </row>
    <row r="31" spans="1:9" ht="14.25" customHeight="1" x14ac:dyDescent="0.25">
      <c r="A31" s="108" t="str">
        <v>DPLUS157</v>
      </c>
      <c r="B31" s="109">
        <v>9</v>
      </c>
      <c r="C31" s="110">
        <v>265440</v>
      </c>
      <c r="D31" s="110">
        <v>50244</v>
      </c>
      <c r="E31" s="111">
        <v>0</v>
      </c>
      <c r="F31" s="121">
        <f t="shared" si="1"/>
        <v>0.18928571428571428</v>
      </c>
      <c r="G31" s="110">
        <v>160111</v>
      </c>
      <c r="H31" s="110">
        <v>149000</v>
      </c>
      <c r="I31" s="122">
        <f t="shared" si="2"/>
        <v>0.60319092827004217</v>
      </c>
    </row>
    <row r="32" spans="1:9" ht="14.25" customHeight="1" x14ac:dyDescent="0.25">
      <c r="A32" s="108" t="str">
        <v>DPLUS158</v>
      </c>
      <c r="B32" s="109">
        <v>10</v>
      </c>
      <c r="C32" s="110">
        <v>499982</v>
      </c>
      <c r="D32" s="110">
        <v>142663</v>
      </c>
      <c r="E32" s="110">
        <v>167631</v>
      </c>
      <c r="F32" s="121">
        <f t="shared" si="1"/>
        <v>0.28533627210579582</v>
      </c>
      <c r="G32" s="70">
        <f t="shared" ref="G32:G35" si="3">IFERROR(E32/A32,0)</f>
        <v>0</v>
      </c>
      <c r="H32" s="70">
        <v>0</v>
      </c>
      <c r="I32" s="70">
        <f t="shared" si="2"/>
        <v>0</v>
      </c>
    </row>
    <row r="33" spans="1:9" ht="14.25" customHeight="1" x14ac:dyDescent="0.25">
      <c r="A33" s="108" t="str">
        <v>DPLUS159</v>
      </c>
      <c r="B33" s="109">
        <v>10</v>
      </c>
      <c r="C33" s="110">
        <v>77850</v>
      </c>
      <c r="D33" s="110">
        <v>12200</v>
      </c>
      <c r="E33" s="110">
        <v>32600</v>
      </c>
      <c r="F33" s="121">
        <f t="shared" si="1"/>
        <v>0.15671162491971741</v>
      </c>
      <c r="G33" s="70">
        <f t="shared" si="3"/>
        <v>0</v>
      </c>
      <c r="H33" s="70">
        <v>0</v>
      </c>
      <c r="I33" s="70">
        <f t="shared" si="2"/>
        <v>0</v>
      </c>
    </row>
    <row r="34" spans="1:9" ht="14.25" customHeight="1" x14ac:dyDescent="0.25">
      <c r="A34" s="108" t="str">
        <v>DPLUS160</v>
      </c>
      <c r="B34" s="109">
        <v>10</v>
      </c>
      <c r="C34" s="110">
        <v>160900</v>
      </c>
      <c r="D34" s="111">
        <v>0</v>
      </c>
      <c r="E34" s="111">
        <v>0</v>
      </c>
      <c r="F34" s="111">
        <f t="shared" si="1"/>
        <v>0</v>
      </c>
      <c r="G34" s="70">
        <f t="shared" si="3"/>
        <v>0</v>
      </c>
      <c r="H34" s="70">
        <v>0</v>
      </c>
      <c r="I34" s="70">
        <f t="shared" si="2"/>
        <v>0</v>
      </c>
    </row>
    <row r="35" spans="1:9" ht="14.25" customHeight="1" x14ac:dyDescent="0.25">
      <c r="A35" s="108" t="str">
        <v>DPLUS161</v>
      </c>
      <c r="B35" s="109">
        <v>10</v>
      </c>
      <c r="C35" s="110">
        <v>285415</v>
      </c>
      <c r="D35" s="110">
        <v>211456</v>
      </c>
      <c r="E35" s="110">
        <v>253269</v>
      </c>
      <c r="F35" s="121">
        <f t="shared" si="1"/>
        <v>0.74087206348650214</v>
      </c>
      <c r="G35" s="70">
        <f t="shared" si="3"/>
        <v>0</v>
      </c>
      <c r="H35" s="70">
        <v>0</v>
      </c>
      <c r="I35" s="70">
        <f t="shared" si="2"/>
        <v>0</v>
      </c>
    </row>
    <row r="36" spans="1:9" ht="14.25" customHeight="1" x14ac:dyDescent="0.25">
      <c r="A36" s="108" t="str">
        <v>DPLUS162</v>
      </c>
      <c r="B36" s="109">
        <v>10</v>
      </c>
      <c r="C36" s="110">
        <v>490384</v>
      </c>
      <c r="D36" s="110">
        <v>37000</v>
      </c>
      <c r="E36" s="110">
        <v>200000</v>
      </c>
      <c r="F36" s="121">
        <f t="shared" si="1"/>
        <v>7.5451075075858923E-2</v>
      </c>
      <c r="G36" s="110">
        <v>2000</v>
      </c>
      <c r="H36" s="70">
        <v>0</v>
      </c>
      <c r="I36" s="126">
        <f>IFERROR(G36/C36,0)</f>
        <v>4.078436490586969E-3</v>
      </c>
    </row>
    <row r="37" spans="1:9" ht="14.25" customHeight="1" x14ac:dyDescent="0.25">
      <c r="A37" s="108" t="str">
        <v>DPLUS163</v>
      </c>
      <c r="B37" s="109">
        <v>10</v>
      </c>
      <c r="C37" s="110">
        <v>439897</v>
      </c>
      <c r="D37" s="110">
        <v>60818</v>
      </c>
      <c r="E37" s="110">
        <v>200442</v>
      </c>
      <c r="F37" s="121">
        <f t="shared" si="1"/>
        <v>0.13825509153279064</v>
      </c>
      <c r="G37" s="70">
        <v>0</v>
      </c>
      <c r="H37" s="70">
        <v>0</v>
      </c>
      <c r="I37" s="70">
        <f t="shared" si="2"/>
        <v>0</v>
      </c>
    </row>
    <row r="38" spans="1:9" ht="14.25" customHeight="1" x14ac:dyDescent="0.25">
      <c r="A38" s="108" t="str">
        <v>DPLUS164</v>
      </c>
      <c r="B38" s="109">
        <v>10</v>
      </c>
      <c r="C38" s="110">
        <v>516398</v>
      </c>
      <c r="D38" s="110">
        <v>68621.13</v>
      </c>
      <c r="E38" s="110">
        <v>191204.65</v>
      </c>
      <c r="F38" s="121">
        <f t="shared" si="1"/>
        <v>0.1328841901014334</v>
      </c>
      <c r="G38" s="110">
        <v>11000</v>
      </c>
      <c r="H38" s="70">
        <v>0</v>
      </c>
      <c r="I38" s="70">
        <v>0</v>
      </c>
    </row>
    <row r="39" spans="1:9" ht="14.25" customHeight="1" x14ac:dyDescent="0.25">
      <c r="A39" s="108" t="str">
        <v>DPLUS165</v>
      </c>
      <c r="B39" s="109">
        <v>10</v>
      </c>
      <c r="C39" s="110">
        <v>199300</v>
      </c>
      <c r="D39" s="110">
        <v>17480</v>
      </c>
      <c r="E39" s="110">
        <v>44585</v>
      </c>
      <c r="F39" s="121">
        <f t="shared" si="1"/>
        <v>8.7706974410436525E-2</v>
      </c>
      <c r="G39" s="70">
        <v>0</v>
      </c>
      <c r="H39" s="70">
        <v>0</v>
      </c>
      <c r="I39" s="70">
        <f t="shared" si="2"/>
        <v>0</v>
      </c>
    </row>
    <row r="40" spans="1:9" ht="14.25" customHeight="1" x14ac:dyDescent="0.25">
      <c r="A40" s="108" t="str">
        <v>DPLUS166</v>
      </c>
      <c r="B40" s="109">
        <v>10</v>
      </c>
      <c r="C40" s="110">
        <v>308263</v>
      </c>
      <c r="D40" s="110">
        <v>32217</v>
      </c>
      <c r="E40" s="110">
        <v>224571</v>
      </c>
      <c r="F40" s="121">
        <f t="shared" si="1"/>
        <v>0.10451140746700058</v>
      </c>
      <c r="G40" s="70">
        <v>0</v>
      </c>
      <c r="H40" s="70">
        <v>0</v>
      </c>
      <c r="I40" s="70">
        <f t="shared" si="2"/>
        <v>0</v>
      </c>
    </row>
    <row r="41" spans="1:9" ht="14.25" customHeight="1" x14ac:dyDescent="0.25">
      <c r="A41" s="108" t="str">
        <v>DPLUS167</v>
      </c>
      <c r="B41" s="109">
        <v>10</v>
      </c>
      <c r="C41" s="110">
        <v>98135</v>
      </c>
      <c r="D41" s="110">
        <v>79000</v>
      </c>
      <c r="E41" s="110">
        <v>155000</v>
      </c>
      <c r="F41" s="121">
        <f t="shared" si="1"/>
        <v>0.80501350180873288</v>
      </c>
      <c r="G41" s="70">
        <v>0</v>
      </c>
      <c r="H41" s="70">
        <v>0</v>
      </c>
      <c r="I41" s="70">
        <f t="shared" si="2"/>
        <v>0</v>
      </c>
    </row>
    <row r="42" spans="1:9" ht="14.25" customHeight="1" x14ac:dyDescent="0.25">
      <c r="A42" s="108" t="str">
        <v>DPLUS169</v>
      </c>
      <c r="B42" s="109">
        <v>10</v>
      </c>
      <c r="C42" s="110">
        <v>266119</v>
      </c>
      <c r="D42" s="111">
        <v>0</v>
      </c>
      <c r="E42" s="111">
        <v>0</v>
      </c>
      <c r="F42" s="111">
        <f t="shared" si="1"/>
        <v>0</v>
      </c>
      <c r="G42" s="70">
        <v>0</v>
      </c>
      <c r="H42" s="70">
        <v>0</v>
      </c>
      <c r="I42" s="70">
        <f t="shared" si="2"/>
        <v>0</v>
      </c>
    </row>
    <row r="43" spans="1:9" ht="14.25" customHeight="1" x14ac:dyDescent="0.25">
      <c r="A43" s="108" t="str">
        <v>DPLUS174</v>
      </c>
      <c r="B43" s="109">
        <v>10</v>
      </c>
      <c r="C43" s="110">
        <v>397772</v>
      </c>
      <c r="D43" s="110">
        <v>392461</v>
      </c>
      <c r="E43" s="111">
        <v>0</v>
      </c>
      <c r="F43" s="121">
        <f t="shared" si="1"/>
        <v>0.98664813008457108</v>
      </c>
      <c r="G43" s="70">
        <v>0</v>
      </c>
      <c r="H43" s="70">
        <v>0</v>
      </c>
      <c r="I43" s="70">
        <f t="shared" si="2"/>
        <v>0</v>
      </c>
    </row>
    <row r="44" spans="1:9" ht="14.25" customHeight="1" x14ac:dyDescent="0.25">
      <c r="A44" s="108" t="str">
        <v>DPLUS175</v>
      </c>
      <c r="B44" s="109">
        <v>10</v>
      </c>
      <c r="C44" s="110">
        <v>299249</v>
      </c>
      <c r="D44" s="111">
        <v>0</v>
      </c>
      <c r="E44" s="111">
        <v>0</v>
      </c>
      <c r="F44" s="111">
        <f t="shared" si="1"/>
        <v>0</v>
      </c>
      <c r="G44" s="70">
        <v>0</v>
      </c>
      <c r="H44" s="70">
        <v>0</v>
      </c>
      <c r="I44" s="70">
        <f t="shared" si="2"/>
        <v>0</v>
      </c>
    </row>
    <row r="45" spans="1:9" ht="14.25" customHeight="1" x14ac:dyDescent="0.25">
      <c r="A45" s="108" t="str">
        <v>DPLUS176</v>
      </c>
      <c r="B45" s="109">
        <v>10</v>
      </c>
      <c r="C45" s="110">
        <v>499234</v>
      </c>
      <c r="D45" s="110">
        <v>67994</v>
      </c>
      <c r="E45" s="110">
        <v>189699</v>
      </c>
      <c r="F45" s="121">
        <f t="shared" si="1"/>
        <v>0.13619665327281394</v>
      </c>
      <c r="G45" s="110">
        <v>6434</v>
      </c>
      <c r="H45" s="70">
        <v>0</v>
      </c>
      <c r="I45" s="124">
        <f>IFERROR(G45/C45,0)</f>
        <v>1.288774402384453E-2</v>
      </c>
    </row>
    <row r="46" spans="1:9" ht="14.25" customHeight="1" x14ac:dyDescent="0.25">
      <c r="A46" s="108" t="str">
        <v>DPLUS177</v>
      </c>
      <c r="B46" s="109">
        <v>10</v>
      </c>
      <c r="C46" s="110">
        <v>99723</v>
      </c>
      <c r="D46" s="110">
        <v>100000</v>
      </c>
      <c r="E46" s="110">
        <v>100000</v>
      </c>
      <c r="F46" s="121">
        <f t="shared" si="1"/>
        <v>1.00277769421297</v>
      </c>
      <c r="G46" s="110">
        <v>2200</v>
      </c>
      <c r="H46" s="110">
        <v>2200</v>
      </c>
      <c r="I46" s="124">
        <f>IFERROR(G46/C46,0)</f>
        <v>2.2061109272685338E-2</v>
      </c>
    </row>
    <row r="47" spans="1:9" ht="14.25" customHeight="1" x14ac:dyDescent="0.25">
      <c r="A47" s="108" t="str">
        <v>DPLUS178</v>
      </c>
      <c r="B47" s="109">
        <v>10</v>
      </c>
      <c r="C47" s="110">
        <v>249999</v>
      </c>
      <c r="D47" s="111">
        <v>0</v>
      </c>
      <c r="E47" s="111">
        <v>0</v>
      </c>
      <c r="F47" s="111">
        <f t="shared" si="1"/>
        <v>0</v>
      </c>
      <c r="G47" s="70">
        <f t="shared" ref="G47:H50" si="4">IFERROR(E47/A47,0)</f>
        <v>0</v>
      </c>
      <c r="H47" s="70">
        <f t="shared" si="4"/>
        <v>0</v>
      </c>
      <c r="I47" s="70">
        <f t="shared" si="2"/>
        <v>0</v>
      </c>
    </row>
    <row r="48" spans="1:9" ht="14.25" customHeight="1" x14ac:dyDescent="0.25">
      <c r="A48" s="108" t="str">
        <v>DPLUS179</v>
      </c>
      <c r="B48" s="109">
        <v>10</v>
      </c>
      <c r="C48" s="110">
        <v>336538</v>
      </c>
      <c r="D48" s="110">
        <v>13264</v>
      </c>
      <c r="E48" s="110">
        <v>219692</v>
      </c>
      <c r="F48" s="121">
        <f t="shared" si="1"/>
        <v>3.941308262365617E-2</v>
      </c>
      <c r="G48" s="70">
        <f t="shared" si="4"/>
        <v>0</v>
      </c>
      <c r="H48" s="70">
        <v>0</v>
      </c>
      <c r="I48" s="70">
        <f t="shared" si="2"/>
        <v>0</v>
      </c>
    </row>
    <row r="49" spans="1:9" ht="14.25" customHeight="1" x14ac:dyDescent="0.25">
      <c r="A49" s="108" t="str">
        <v>DPLUS180</v>
      </c>
      <c r="B49" s="109">
        <v>10</v>
      </c>
      <c r="C49" s="110">
        <v>175195</v>
      </c>
      <c r="D49" s="110">
        <v>6857</v>
      </c>
      <c r="E49" s="110">
        <v>11714</v>
      </c>
      <c r="F49" s="121">
        <f t="shared" si="1"/>
        <v>3.9139244841462369E-2</v>
      </c>
      <c r="G49" s="70">
        <f t="shared" si="4"/>
        <v>0</v>
      </c>
      <c r="H49" s="70">
        <v>0</v>
      </c>
      <c r="I49" s="70">
        <f t="shared" si="2"/>
        <v>0</v>
      </c>
    </row>
    <row r="50" spans="1:9" ht="14.25" customHeight="1" x14ac:dyDescent="0.25">
      <c r="A50" s="108" t="str">
        <v>DPLUS181</v>
      </c>
      <c r="B50" s="109">
        <v>10</v>
      </c>
      <c r="C50" s="110">
        <v>584482</v>
      </c>
      <c r="D50" s="111">
        <v>0</v>
      </c>
      <c r="E50" s="111">
        <v>0</v>
      </c>
      <c r="F50" s="111">
        <f t="shared" si="1"/>
        <v>0</v>
      </c>
      <c r="G50" s="70">
        <f t="shared" si="4"/>
        <v>0</v>
      </c>
      <c r="H50" s="70">
        <v>0</v>
      </c>
      <c r="I50" s="70">
        <f t="shared" si="2"/>
        <v>0</v>
      </c>
    </row>
    <row r="51" spans="1:9" ht="14.25" customHeight="1" x14ac:dyDescent="0.25">
      <c r="A51" s="108" t="str">
        <v>DPLUS182</v>
      </c>
      <c r="B51" s="109">
        <v>11</v>
      </c>
      <c r="C51" s="110">
        <v>303425</v>
      </c>
      <c r="D51" s="110">
        <v>12800</v>
      </c>
      <c r="E51" s="111">
        <v>0</v>
      </c>
      <c r="F51" s="121">
        <f t="shared" si="1"/>
        <v>4.218505396720771E-2</v>
      </c>
      <c r="G51" s="110">
        <v>20958</v>
      </c>
      <c r="H51" s="70">
        <v>0</v>
      </c>
      <c r="I51" s="122">
        <f t="shared" si="2"/>
        <v>6.9071434456620256E-2</v>
      </c>
    </row>
    <row r="52" spans="1:9" ht="14.25" customHeight="1" x14ac:dyDescent="0.25">
      <c r="A52" s="108" t="str">
        <v>DPLUS183</v>
      </c>
      <c r="B52" s="109">
        <v>11</v>
      </c>
      <c r="C52" s="110">
        <v>396655</v>
      </c>
      <c r="D52" s="110">
        <v>13000</v>
      </c>
      <c r="E52" s="110">
        <v>39000</v>
      </c>
      <c r="F52" s="121">
        <f t="shared" si="1"/>
        <v>3.2774073187026506E-2</v>
      </c>
      <c r="G52" s="110">
        <v>64638</v>
      </c>
      <c r="H52" s="110">
        <v>145132</v>
      </c>
      <c r="I52" s="122">
        <f t="shared" si="2"/>
        <v>0.1629577340510015</v>
      </c>
    </row>
    <row r="53" spans="1:9" ht="14.25" customHeight="1" x14ac:dyDescent="0.25">
      <c r="A53" s="108" t="str">
        <v>DPLUS184</v>
      </c>
      <c r="B53" s="109">
        <v>11</v>
      </c>
      <c r="C53" s="110">
        <v>396989</v>
      </c>
      <c r="D53" s="110">
        <v>185095.58</v>
      </c>
      <c r="E53" s="110">
        <v>608730</v>
      </c>
      <c r="F53" s="121">
        <f t="shared" si="1"/>
        <v>0.46624863661209753</v>
      </c>
      <c r="G53" s="70">
        <f t="shared" ref="G53:H61" si="5">IFERROR(E53/A53,0)</f>
        <v>0</v>
      </c>
      <c r="H53" s="70">
        <v>0</v>
      </c>
      <c r="I53" s="70">
        <f t="shared" si="2"/>
        <v>0</v>
      </c>
    </row>
    <row r="54" spans="1:9" ht="14.25" customHeight="1" x14ac:dyDescent="0.25">
      <c r="A54" s="108" t="str">
        <v>DPLUS185</v>
      </c>
      <c r="B54" s="109">
        <v>11</v>
      </c>
      <c r="C54" s="110">
        <v>630031</v>
      </c>
      <c r="D54" s="111">
        <v>0</v>
      </c>
      <c r="E54" s="111">
        <v>0</v>
      </c>
      <c r="F54" s="111">
        <f t="shared" si="1"/>
        <v>0</v>
      </c>
      <c r="G54" s="70">
        <f t="shared" si="5"/>
        <v>0</v>
      </c>
      <c r="H54" s="70">
        <v>0</v>
      </c>
      <c r="I54" s="70">
        <f t="shared" si="2"/>
        <v>0</v>
      </c>
    </row>
    <row r="55" spans="1:9" ht="14.25" customHeight="1" x14ac:dyDescent="0.25">
      <c r="A55" s="108" t="str">
        <v>DPLUS186</v>
      </c>
      <c r="B55" s="109">
        <v>11</v>
      </c>
      <c r="C55" s="110">
        <v>440264</v>
      </c>
      <c r="D55" s="110">
        <v>76886</v>
      </c>
      <c r="E55" s="110">
        <v>33608</v>
      </c>
      <c r="F55" s="121">
        <f t="shared" si="1"/>
        <v>0.17463612741446041</v>
      </c>
      <c r="G55" s="70">
        <f t="shared" si="5"/>
        <v>0</v>
      </c>
      <c r="H55" s="70">
        <v>0</v>
      </c>
      <c r="I55" s="70">
        <f t="shared" si="2"/>
        <v>0</v>
      </c>
    </row>
    <row r="56" spans="1:9" ht="14.25" customHeight="1" x14ac:dyDescent="0.25">
      <c r="A56" s="108" t="str">
        <v>DPLUS189</v>
      </c>
      <c r="B56" s="109">
        <v>11</v>
      </c>
      <c r="C56" s="110">
        <v>241145</v>
      </c>
      <c r="D56" s="110">
        <v>124771</v>
      </c>
      <c r="E56" s="110">
        <v>124771</v>
      </c>
      <c r="F56" s="121">
        <f t="shared" si="1"/>
        <v>0.51741068651641131</v>
      </c>
      <c r="G56" s="70">
        <f t="shared" si="5"/>
        <v>0</v>
      </c>
      <c r="H56" s="70">
        <v>0</v>
      </c>
      <c r="I56" s="70">
        <f t="shared" si="2"/>
        <v>0</v>
      </c>
    </row>
    <row r="57" spans="1:9" ht="14.25" customHeight="1" x14ac:dyDescent="0.25">
      <c r="A57" s="108" t="str">
        <v>DPLUS190</v>
      </c>
      <c r="B57" s="109">
        <v>11</v>
      </c>
      <c r="C57" s="110">
        <v>14734.25</v>
      </c>
      <c r="D57" s="110">
        <v>6072</v>
      </c>
      <c r="E57" s="111">
        <v>0</v>
      </c>
      <c r="F57" s="121">
        <f t="shared" si="1"/>
        <v>0.41210105706092948</v>
      </c>
      <c r="G57" s="70">
        <f t="shared" si="5"/>
        <v>0</v>
      </c>
      <c r="H57" s="70">
        <v>0</v>
      </c>
      <c r="I57" s="70">
        <f t="shared" si="2"/>
        <v>0</v>
      </c>
    </row>
    <row r="58" spans="1:9" ht="14.25" customHeight="1" x14ac:dyDescent="0.25">
      <c r="A58" s="108" t="str">
        <v>DPLUS191</v>
      </c>
      <c r="B58" s="109">
        <v>11</v>
      </c>
      <c r="C58" s="110">
        <v>532182</v>
      </c>
      <c r="D58" s="111">
        <v>0</v>
      </c>
      <c r="E58" s="111">
        <v>0</v>
      </c>
      <c r="F58" s="111">
        <f t="shared" si="1"/>
        <v>0</v>
      </c>
      <c r="G58" s="70">
        <f t="shared" si="5"/>
        <v>0</v>
      </c>
      <c r="H58" s="70">
        <v>0</v>
      </c>
      <c r="I58" s="70">
        <f t="shared" si="2"/>
        <v>0</v>
      </c>
    </row>
    <row r="59" spans="1:9" ht="14.25" customHeight="1" x14ac:dyDescent="0.25">
      <c r="A59" s="108" t="str">
        <v>DPLUS192</v>
      </c>
      <c r="B59" s="109">
        <v>11</v>
      </c>
      <c r="C59" s="110">
        <v>485986</v>
      </c>
      <c r="D59" s="110">
        <v>37144</v>
      </c>
      <c r="E59" s="110">
        <v>98776</v>
      </c>
      <c r="F59" s="121">
        <f t="shared" si="1"/>
        <v>7.6430185231673345E-2</v>
      </c>
      <c r="G59" s="70">
        <f t="shared" si="5"/>
        <v>0</v>
      </c>
      <c r="H59" s="70">
        <v>0</v>
      </c>
      <c r="I59" s="70">
        <f t="shared" si="2"/>
        <v>0</v>
      </c>
    </row>
    <row r="60" spans="1:9" ht="14.25" customHeight="1" x14ac:dyDescent="0.25">
      <c r="A60" s="108" t="str">
        <v>DPLUS195</v>
      </c>
      <c r="B60" s="109">
        <v>11</v>
      </c>
      <c r="C60" s="110">
        <v>273579</v>
      </c>
      <c r="D60" s="111">
        <v>0</v>
      </c>
      <c r="E60" s="110">
        <f>16875+9339+4114</f>
        <v>30328</v>
      </c>
      <c r="F60" s="111">
        <f t="shared" si="1"/>
        <v>0</v>
      </c>
      <c r="G60" s="70">
        <f t="shared" si="5"/>
        <v>0</v>
      </c>
      <c r="H60" s="70">
        <f t="shared" si="5"/>
        <v>0</v>
      </c>
      <c r="I60" s="70">
        <f t="shared" si="2"/>
        <v>0</v>
      </c>
    </row>
    <row r="61" spans="1:9" ht="14.25" customHeight="1" x14ac:dyDescent="0.25">
      <c r="A61" s="127" t="str">
        <v>DPLUS196</v>
      </c>
      <c r="B61" s="128">
        <v>11</v>
      </c>
      <c r="C61" s="129">
        <v>599185</v>
      </c>
      <c r="D61" s="114">
        <v>0</v>
      </c>
      <c r="E61" s="114">
        <v>0</v>
      </c>
      <c r="F61" s="114">
        <f t="shared" si="1"/>
        <v>0</v>
      </c>
      <c r="G61" s="112">
        <f t="shared" si="5"/>
        <v>0</v>
      </c>
      <c r="H61" s="112">
        <f t="shared" si="5"/>
        <v>0</v>
      </c>
      <c r="I61" s="112">
        <f t="shared" si="2"/>
        <v>0</v>
      </c>
    </row>
  </sheetData>
  <mergeCells count="7">
    <mergeCell ref="I1:I2"/>
    <mergeCell ref="A1:A2"/>
    <mergeCell ref="B1:B2"/>
    <mergeCell ref="C1:C2"/>
    <mergeCell ref="D1:E1"/>
    <mergeCell ref="F1:F2"/>
    <mergeCell ref="G1:H1"/>
  </mergeCells>
  <conditionalFormatting sqref="C3:C61">
    <cfRule type="dataBar" priority="12">
      <dataBar>
        <cfvo type="min"/>
        <cfvo type="max"/>
        <color theme="4" tint="0.59999389629810485"/>
      </dataBar>
      <extLst>
        <ext xmlns:x14="http://schemas.microsoft.com/office/spreadsheetml/2009/9/main" uri="{B025F937-C7B1-47D3-B67F-A62EFF666E3E}">
          <x14:id>{BBFCB713-AAC1-44E4-8327-4F18B6DED817}</x14:id>
        </ext>
      </extLst>
    </cfRule>
  </conditionalFormatting>
  <conditionalFormatting sqref="D3:D61">
    <cfRule type="dataBar" priority="4">
      <dataBar>
        <cfvo type="min"/>
        <cfvo type="max"/>
        <color rgb="FFFFB628"/>
      </dataBar>
      <extLst>
        <ext xmlns:x14="http://schemas.microsoft.com/office/spreadsheetml/2009/9/main" uri="{B025F937-C7B1-47D3-B67F-A62EFF666E3E}">
          <x14:id>{33D5CD93-D8B8-49BE-A823-6E97D50A4A84}</x14:id>
        </ext>
      </extLst>
    </cfRule>
  </conditionalFormatting>
  <conditionalFormatting sqref="D3:E61">
    <cfRule type="dataBar" priority="9">
      <dataBar>
        <cfvo type="min"/>
        <cfvo type="max"/>
        <color theme="9" tint="0.59999389629810485"/>
      </dataBar>
      <extLst>
        <ext xmlns:x14="http://schemas.microsoft.com/office/spreadsheetml/2009/9/main" uri="{B025F937-C7B1-47D3-B67F-A62EFF666E3E}">
          <x14:id>{A172E525-A22E-4331-A26A-5BF700207D88}</x14:id>
        </ext>
      </extLst>
    </cfRule>
    <cfRule type="dataBar" priority="11">
      <dataBar>
        <cfvo type="min"/>
        <cfvo type="max"/>
        <color theme="4" tint="0.59999389629810485"/>
      </dataBar>
      <extLst>
        <ext xmlns:x14="http://schemas.microsoft.com/office/spreadsheetml/2009/9/main" uri="{B025F937-C7B1-47D3-B67F-A62EFF666E3E}">
          <x14:id>{0D984699-4601-464C-8D80-9F5362FD02C8}</x14:id>
        </ext>
      </extLst>
    </cfRule>
  </conditionalFormatting>
  <conditionalFormatting sqref="E3:E61">
    <cfRule type="dataBar" priority="3">
      <dataBar>
        <cfvo type="min"/>
        <cfvo type="max"/>
        <color rgb="FFFFB628"/>
      </dataBar>
      <extLst>
        <ext xmlns:x14="http://schemas.microsoft.com/office/spreadsheetml/2009/9/main" uri="{B025F937-C7B1-47D3-B67F-A62EFF666E3E}">
          <x14:id>{055101CE-691A-4DF3-9DF2-A95B73340E72}</x14:id>
        </ext>
      </extLst>
    </cfRule>
  </conditionalFormatting>
  <conditionalFormatting sqref="F3:F61">
    <cfRule type="colorScale" priority="6">
      <colorScale>
        <cfvo type="min"/>
        <cfvo type="max"/>
        <color rgb="FFFCFCFF"/>
        <color rgb="FF63BE7B"/>
      </colorScale>
    </cfRule>
  </conditionalFormatting>
  <conditionalFormatting sqref="F5:F6 F13:F15 F17:F22 F35:F41 F43 F45:F46 F55:F57 F59 F48:F49 F51:F53 F24:F33 F9:F10">
    <cfRule type="colorScale" priority="7">
      <colorScale>
        <cfvo type="min"/>
        <cfvo type="max"/>
        <color rgb="FFFCFCFF"/>
        <color rgb="FFF8696B"/>
      </colorScale>
    </cfRule>
  </conditionalFormatting>
  <conditionalFormatting sqref="G3:H61">
    <cfRule type="dataBar" priority="2">
      <dataBar>
        <cfvo type="min"/>
        <cfvo type="max"/>
        <color rgb="FFFFB628"/>
      </dataBar>
      <extLst>
        <ext xmlns:x14="http://schemas.microsoft.com/office/spreadsheetml/2009/9/main" uri="{B025F937-C7B1-47D3-B67F-A62EFF666E3E}">
          <x14:id>{43B2343C-0F21-471B-82B0-C52F711AAC8E}</x14:id>
        </ext>
      </extLst>
    </cfRule>
  </conditionalFormatting>
  <conditionalFormatting sqref="G15:H15 G30:H31 G25 G27 G46:H46 G36 G38 G45 G52:H52 G51">
    <cfRule type="dataBar" priority="10">
      <dataBar>
        <cfvo type="min"/>
        <cfvo type="max"/>
        <color theme="9" tint="0.59999389629810485"/>
      </dataBar>
      <extLst>
        <ext xmlns:x14="http://schemas.microsoft.com/office/spreadsheetml/2009/9/main" uri="{B025F937-C7B1-47D3-B67F-A62EFF666E3E}">
          <x14:id>{252E6792-D4A1-4D4B-9812-93C6EA712A67}</x14:id>
        </ext>
      </extLst>
    </cfRule>
  </conditionalFormatting>
  <conditionalFormatting sqref="I3:I61">
    <cfRule type="colorScale" priority="5">
      <colorScale>
        <cfvo type="min"/>
        <cfvo type="max"/>
        <color rgb="FFFCFCFF"/>
        <color rgb="FF63BE7B"/>
      </colorScale>
    </cfRule>
  </conditionalFormatting>
  <conditionalFormatting sqref="I25 I15 I27 I30:I31 I36 I45:I46 I51:I52">
    <cfRule type="colorScale" priority="1">
      <colorScale>
        <cfvo type="min"/>
        <cfvo type="max"/>
        <color rgb="FFFCFCFF"/>
        <color rgb="FF63BE7B"/>
      </colorScale>
    </cfRule>
  </conditionalFormatting>
  <conditionalFormatting sqref="I30:I31 I15 I51:I52">
    <cfRule type="colorScale" priority="8">
      <colorScale>
        <cfvo type="min"/>
        <cfvo type="max"/>
        <color rgb="FFFCFCFF"/>
        <color rgb="FFF8696B"/>
      </colorScale>
    </cfRule>
  </conditionalFormatting>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78C0D931-6437-407d-A8EE-F0AAD7539E65}">
      <x14:conditionalFormattings>
        <x14:conditionalFormatting xmlns:xm="http://schemas.microsoft.com/office/excel/2006/main">
          <x14:cfRule type="dataBar" id="{BBFCB713-AAC1-44E4-8327-4F18B6DED817}">
            <x14:dataBar minLength="0" maxLength="100" gradient="0">
              <x14:cfvo type="autoMin"/>
              <x14:cfvo type="autoMax"/>
              <x14:negativeFillColor rgb="FFFF0000"/>
              <x14:axisColor rgb="FF000000"/>
            </x14:dataBar>
          </x14:cfRule>
          <xm:sqref>C3:C61</xm:sqref>
        </x14:conditionalFormatting>
        <x14:conditionalFormatting xmlns:xm="http://schemas.microsoft.com/office/excel/2006/main">
          <x14:cfRule type="dataBar" id="{33D5CD93-D8B8-49BE-A823-6E97D50A4A84}">
            <x14:dataBar minLength="0" maxLength="100" gradient="0">
              <x14:cfvo type="autoMin"/>
              <x14:cfvo type="autoMax"/>
              <x14:negativeFillColor rgb="FFFF0000"/>
              <x14:axisColor rgb="FF000000"/>
            </x14:dataBar>
          </x14:cfRule>
          <xm:sqref>D3:D61</xm:sqref>
        </x14:conditionalFormatting>
        <x14:conditionalFormatting xmlns:xm="http://schemas.microsoft.com/office/excel/2006/main">
          <x14:cfRule type="dataBar" id="{A172E525-A22E-4331-A26A-5BF700207D88}">
            <x14:dataBar minLength="0" maxLength="100" gradient="0">
              <x14:cfvo type="autoMin"/>
              <x14:cfvo type="autoMax"/>
              <x14:negativeFillColor rgb="FFFF0000"/>
              <x14:axisColor rgb="FF000000"/>
            </x14:dataBar>
          </x14:cfRule>
          <x14:cfRule type="dataBar" id="{0D984699-4601-464C-8D80-9F5362FD02C8}">
            <x14:dataBar minLength="0" maxLength="100" gradient="0">
              <x14:cfvo type="autoMin"/>
              <x14:cfvo type="autoMax"/>
              <x14:negativeFillColor rgb="FFFF0000"/>
              <x14:axisColor rgb="FF000000"/>
            </x14:dataBar>
          </x14:cfRule>
          <xm:sqref>D3:E61</xm:sqref>
        </x14:conditionalFormatting>
        <x14:conditionalFormatting xmlns:xm="http://schemas.microsoft.com/office/excel/2006/main">
          <x14:cfRule type="dataBar" id="{055101CE-691A-4DF3-9DF2-A95B73340E72}">
            <x14:dataBar minLength="0" maxLength="100" gradient="0">
              <x14:cfvo type="autoMin"/>
              <x14:cfvo type="autoMax"/>
              <x14:negativeFillColor rgb="FFFF0000"/>
              <x14:axisColor rgb="FF000000"/>
            </x14:dataBar>
          </x14:cfRule>
          <xm:sqref>E3:E61</xm:sqref>
        </x14:conditionalFormatting>
        <x14:conditionalFormatting xmlns:xm="http://schemas.microsoft.com/office/excel/2006/main">
          <x14:cfRule type="dataBar" id="{43B2343C-0F21-471B-82B0-C52F711AAC8E}">
            <x14:dataBar minLength="0" maxLength="100" gradient="0">
              <x14:cfvo type="autoMin"/>
              <x14:cfvo type="autoMax"/>
              <x14:negativeFillColor rgb="FFFF0000"/>
              <x14:axisColor rgb="FF000000"/>
            </x14:dataBar>
          </x14:cfRule>
          <xm:sqref>G3:H61</xm:sqref>
        </x14:conditionalFormatting>
        <x14:conditionalFormatting xmlns:xm="http://schemas.microsoft.com/office/excel/2006/main">
          <x14:cfRule type="dataBar" id="{252E6792-D4A1-4D4B-9812-93C6EA712A67}">
            <x14:dataBar minLength="0" maxLength="100" gradient="0">
              <x14:cfvo type="autoMin"/>
              <x14:cfvo type="autoMax"/>
              <x14:negativeFillColor rgb="FFFF0000"/>
              <x14:axisColor rgb="FF000000"/>
            </x14:dataBar>
          </x14:cfRule>
          <xm:sqref>G15:H15 G30:H31 G25 G27 G46:H46 G36 G38 G45 G52:H52 G51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20798-2A5D-4881-A5F4-A440503827BC}">
  <dimension ref="A1:K330"/>
  <sheetViews>
    <sheetView workbookViewId="0">
      <selection activeCell="R19" sqref="R19"/>
    </sheetView>
  </sheetViews>
  <sheetFormatPr defaultRowHeight="15" x14ac:dyDescent="0.25"/>
  <cols>
    <col min="1" max="1" width="9.5703125" bestFit="1" customWidth="1"/>
    <col min="2" max="2" width="26.42578125" bestFit="1" customWidth="1"/>
    <col min="5" max="5" width="10.7109375" bestFit="1" customWidth="1"/>
    <col min="6" max="6" width="13.28515625" bestFit="1" customWidth="1"/>
    <col min="7" max="7" width="16.28515625" bestFit="1" customWidth="1"/>
    <col min="8" max="8" width="6" bestFit="1" customWidth="1"/>
    <col min="9" max="9" width="10" bestFit="1" customWidth="1"/>
    <col min="10" max="10" width="7" bestFit="1" customWidth="1"/>
    <col min="11" max="11" width="11.28515625" hidden="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8" width="10.28515625" bestFit="1" customWidth="1"/>
    <col min="19" max="19" width="10.7109375" bestFit="1" customWidth="1"/>
    <col min="20" max="20" width="10.28515625" bestFit="1" customWidth="1"/>
    <col min="21" max="22" width="10.7109375" bestFit="1" customWidth="1"/>
    <col min="23" max="23" width="10.28515625" bestFit="1" customWidth="1"/>
    <col min="24" max="24" width="10.7109375" bestFit="1" customWidth="1"/>
    <col min="25" max="25" width="10.28515625" bestFit="1" customWidth="1"/>
    <col min="26" max="26" width="10.7109375" bestFit="1" customWidth="1"/>
    <col min="27" max="28" width="10.28515625" bestFit="1" customWidth="1"/>
    <col min="29" max="29" width="10.7109375" bestFit="1" customWidth="1"/>
    <col min="30" max="30" width="10.28515625" bestFit="1" customWidth="1"/>
    <col min="31" max="31" width="10.7109375" bestFit="1" customWidth="1"/>
    <col min="32" max="32" width="10.28515625" bestFit="1" customWidth="1"/>
    <col min="33" max="33" width="10.7109375" bestFit="1" customWidth="1"/>
    <col min="34" max="34" width="10.28515625" bestFit="1" customWidth="1"/>
    <col min="35" max="35" width="10.7109375" bestFit="1" customWidth="1"/>
    <col min="36" max="36" width="10.28515625" bestFit="1" customWidth="1"/>
    <col min="37" max="37" width="10.7109375" bestFit="1" customWidth="1"/>
    <col min="38" max="38" width="10.28515625" bestFit="1" customWidth="1"/>
    <col min="39" max="39" width="10.7109375" bestFit="1" customWidth="1"/>
    <col min="40" max="40" width="10.28515625" bestFit="1" customWidth="1"/>
    <col min="41" max="41" width="10.7109375" bestFit="1" customWidth="1"/>
    <col min="42" max="42" width="10.42578125" bestFit="1" customWidth="1"/>
    <col min="43" max="43" width="10.7109375" bestFit="1" customWidth="1"/>
    <col min="44" max="48" width="10.42578125" bestFit="1" customWidth="1"/>
    <col min="49" max="49" width="10.7109375" bestFit="1" customWidth="1"/>
    <col min="50" max="50" width="10.42578125" bestFit="1" customWidth="1"/>
    <col min="51" max="51" width="10.28515625" bestFit="1" customWidth="1"/>
    <col min="52" max="52" width="11" bestFit="1" customWidth="1"/>
    <col min="53" max="54" width="10.28515625" bestFit="1" customWidth="1"/>
    <col min="55" max="56" width="10.7109375" bestFit="1" customWidth="1"/>
    <col min="57" max="57" width="15" bestFit="1" customWidth="1"/>
    <col min="58" max="58" width="12.28515625" bestFit="1" customWidth="1"/>
    <col min="59" max="59" width="10.28515625" bestFit="1" customWidth="1"/>
    <col min="60" max="60" width="10.7109375" bestFit="1" customWidth="1"/>
    <col min="61" max="61" width="10.42578125" bestFit="1" customWidth="1"/>
    <col min="62" max="62" width="10.28515625" bestFit="1" customWidth="1"/>
    <col min="63" max="63" width="15" bestFit="1" customWidth="1"/>
    <col min="64" max="64" width="12.28515625" bestFit="1" customWidth="1"/>
    <col min="65" max="65" width="10.42578125" bestFit="1" customWidth="1"/>
    <col min="66" max="67" width="10.28515625" bestFit="1" customWidth="1"/>
    <col min="68" max="68" width="15" bestFit="1" customWidth="1"/>
    <col min="69" max="69" width="12.28515625" bestFit="1" customWidth="1"/>
    <col min="70" max="72" width="10.28515625" bestFit="1" customWidth="1"/>
    <col min="73" max="73" width="15" bestFit="1" customWidth="1"/>
    <col min="74" max="74" width="12.28515625" bestFit="1" customWidth="1"/>
    <col min="75" max="75" width="10.7109375" bestFit="1" customWidth="1"/>
    <col min="76" max="76" width="10.28515625" bestFit="1" customWidth="1"/>
    <col min="77" max="78" width="10.7109375" bestFit="1" customWidth="1"/>
    <col min="79" max="79" width="10.28515625" bestFit="1" customWidth="1"/>
    <col min="80" max="80" width="10.7109375" bestFit="1" customWidth="1"/>
    <col min="81" max="81" width="15" bestFit="1" customWidth="1"/>
    <col min="82" max="82" width="12.28515625" bestFit="1" customWidth="1"/>
    <col min="83" max="83" width="10.28515625" bestFit="1" customWidth="1"/>
    <col min="84" max="84" width="15" bestFit="1" customWidth="1"/>
    <col min="85" max="85" width="12.28515625" bestFit="1" customWidth="1"/>
    <col min="86" max="87" width="10.42578125" bestFit="1" customWidth="1"/>
    <col min="88" max="88" width="11.28515625" bestFit="1" customWidth="1"/>
    <col min="89" max="95" width="10.28515625" bestFit="1" customWidth="1"/>
    <col min="96" max="99" width="10.42578125" bestFit="1" customWidth="1"/>
    <col min="100" max="100" width="15" bestFit="1" customWidth="1"/>
    <col min="101" max="101" width="12.28515625" bestFit="1" customWidth="1"/>
    <col min="102" max="102" width="10.42578125" bestFit="1" customWidth="1"/>
    <col min="103" max="104" width="10.28515625" bestFit="1" customWidth="1"/>
    <col min="105" max="105" width="10.7109375" bestFit="1" customWidth="1"/>
    <col min="106" max="106" width="10.42578125" bestFit="1" customWidth="1"/>
    <col min="107" max="107" width="15" bestFit="1" customWidth="1"/>
    <col min="108" max="108" width="12.28515625" bestFit="1" customWidth="1"/>
    <col min="109" max="109" width="10.42578125" bestFit="1" customWidth="1"/>
    <col min="110" max="110" width="11.28515625" bestFit="1" customWidth="1"/>
    <col min="111" max="112" width="10.28515625" bestFit="1" customWidth="1"/>
    <col min="113" max="113" width="15" bestFit="1" customWidth="1"/>
    <col min="114" max="114" width="12.28515625" bestFit="1" customWidth="1"/>
    <col min="115" max="116" width="10.28515625" bestFit="1" customWidth="1"/>
    <col min="117" max="117" width="10.7109375" bestFit="1" customWidth="1"/>
    <col min="118" max="118" width="10.28515625" bestFit="1" customWidth="1"/>
    <col min="119" max="119" width="15" bestFit="1" customWidth="1"/>
    <col min="120" max="120" width="12.28515625" bestFit="1" customWidth="1"/>
    <col min="121" max="123" width="10.28515625" bestFit="1" customWidth="1"/>
    <col min="124" max="124" width="10.7109375" bestFit="1" customWidth="1"/>
    <col min="125" max="125" width="15" bestFit="1" customWidth="1"/>
    <col min="126" max="126" width="12.28515625" bestFit="1" customWidth="1"/>
    <col min="127" max="128" width="10.42578125" bestFit="1" customWidth="1"/>
    <col min="129" max="129" width="15" bestFit="1" customWidth="1"/>
    <col min="130" max="130" width="12.28515625" bestFit="1" customWidth="1"/>
    <col min="131" max="131" width="10.42578125" bestFit="1" customWidth="1"/>
    <col min="132" max="132" width="11.28515625" bestFit="1" customWidth="1"/>
    <col min="133" max="133" width="10.7109375" bestFit="1" customWidth="1"/>
    <col min="134" max="139" width="10.28515625" bestFit="1" customWidth="1"/>
    <col min="140" max="140" width="15" bestFit="1" customWidth="1"/>
    <col min="141" max="141" width="12.28515625" bestFit="1" customWidth="1"/>
    <col min="142" max="145" width="10.28515625" bestFit="1" customWidth="1"/>
    <col min="146" max="146" width="15" bestFit="1" customWidth="1"/>
    <col min="147" max="147" width="12.28515625" bestFit="1" customWidth="1"/>
    <col min="148" max="159" width="10.7109375" bestFit="1" customWidth="1"/>
    <col min="160" max="160" width="15" bestFit="1" customWidth="1"/>
    <col min="161" max="161" width="12.28515625" bestFit="1" customWidth="1"/>
    <col min="162" max="162" width="10.28515625" bestFit="1" customWidth="1"/>
    <col min="163" max="169" width="10.7109375" bestFit="1" customWidth="1"/>
    <col min="170" max="170" width="10.42578125" bestFit="1" customWidth="1"/>
    <col min="171" max="171" width="15" bestFit="1" customWidth="1"/>
    <col min="172" max="172" width="12.28515625" bestFit="1" customWidth="1"/>
    <col min="173" max="174" width="10.28515625" bestFit="1" customWidth="1"/>
    <col min="175" max="175" width="15" bestFit="1" customWidth="1"/>
    <col min="176" max="176" width="12.28515625" bestFit="1" customWidth="1"/>
    <col min="177" max="179" width="10.42578125" bestFit="1" customWidth="1"/>
    <col min="180" max="180" width="15" bestFit="1" customWidth="1"/>
    <col min="181" max="181" width="12.28515625" bestFit="1" customWidth="1"/>
    <col min="182" max="185" width="10.7109375" bestFit="1" customWidth="1"/>
    <col min="186" max="186" width="15" bestFit="1" customWidth="1"/>
    <col min="187" max="187" width="12.28515625" bestFit="1" customWidth="1"/>
    <col min="188" max="189" width="10.42578125" bestFit="1" customWidth="1"/>
    <col min="190" max="193" width="10.7109375" bestFit="1" customWidth="1"/>
    <col min="194" max="194" width="10.28515625" bestFit="1" customWidth="1"/>
    <col min="195" max="196" width="10.42578125" bestFit="1" customWidth="1"/>
    <col min="197" max="197" width="15" bestFit="1" customWidth="1"/>
    <col min="198" max="198" width="12.28515625" bestFit="1" customWidth="1"/>
    <col min="199" max="207" width="10.7109375" bestFit="1" customWidth="1"/>
    <col min="208" max="208" width="15" bestFit="1" customWidth="1"/>
    <col min="209" max="209" width="12.28515625" bestFit="1" customWidth="1"/>
    <col min="210" max="210" width="11.28515625" bestFit="1" customWidth="1"/>
    <col min="211" max="214" width="10.28515625" bestFit="1" customWidth="1"/>
    <col min="215" max="216" width="10.42578125" bestFit="1" customWidth="1"/>
    <col min="217" max="217" width="15" bestFit="1" customWidth="1"/>
    <col min="218" max="218" width="11" bestFit="1" customWidth="1"/>
    <col min="219" max="219" width="15.28515625" bestFit="1" customWidth="1"/>
    <col min="220" max="220" width="12.42578125" bestFit="1" customWidth="1"/>
    <col min="221" max="223" width="10.28515625" bestFit="1" customWidth="1"/>
    <col min="224" max="224" width="15.28515625" bestFit="1" customWidth="1"/>
    <col min="225" max="225" width="12.42578125" bestFit="1" customWidth="1"/>
    <col min="226" max="229" width="10.28515625" bestFit="1" customWidth="1"/>
    <col min="230" max="230" width="15.28515625" bestFit="1" customWidth="1"/>
    <col min="231" max="231" width="12.42578125" bestFit="1" customWidth="1"/>
    <col min="232" max="232" width="15.28515625" bestFit="1" customWidth="1"/>
    <col min="233" max="233" width="12.42578125" bestFit="1" customWidth="1"/>
    <col min="234" max="235" width="10.28515625" bestFit="1" customWidth="1"/>
    <col min="236" max="236" width="15.28515625" bestFit="1" customWidth="1"/>
    <col min="237" max="237" width="12.7109375" bestFit="1" customWidth="1"/>
    <col min="238" max="238" width="15.7109375" bestFit="1" customWidth="1"/>
    <col min="239" max="239" width="12.42578125" bestFit="1" customWidth="1"/>
    <col min="240" max="240" width="15.28515625" bestFit="1" customWidth="1"/>
    <col min="241" max="241" width="12.28515625" bestFit="1" customWidth="1"/>
    <col min="242" max="242" width="10.28515625" bestFit="1" customWidth="1"/>
    <col min="243" max="243" width="15" bestFit="1" customWidth="1"/>
    <col min="244" max="244" width="11" bestFit="1" customWidth="1"/>
  </cols>
  <sheetData>
    <row r="1" spans="1:11" x14ac:dyDescent="0.25">
      <c r="A1" t="s">
        <v>144</v>
      </c>
      <c r="B1" t="s">
        <v>848</v>
      </c>
      <c r="C1" t="s">
        <v>297</v>
      </c>
      <c r="D1" t="s">
        <v>849</v>
      </c>
      <c r="F1" s="27" t="s">
        <v>850</v>
      </c>
      <c r="G1" s="27" t="s">
        <v>851</v>
      </c>
    </row>
    <row r="2" spans="1:11" x14ac:dyDescent="0.25">
      <c r="A2" t="s">
        <v>56</v>
      </c>
      <c r="B2" t="s">
        <v>164</v>
      </c>
      <c r="C2">
        <v>8</v>
      </c>
      <c r="D2">
        <v>3</v>
      </c>
      <c r="F2" s="27" t="s">
        <v>852</v>
      </c>
      <c r="G2">
        <v>8</v>
      </c>
      <c r="H2">
        <v>9</v>
      </c>
      <c r="I2">
        <v>10</v>
      </c>
      <c r="J2">
        <v>11</v>
      </c>
      <c r="K2" t="s">
        <v>853</v>
      </c>
    </row>
    <row r="3" spans="1:11" x14ac:dyDescent="0.25">
      <c r="A3" t="s">
        <v>56</v>
      </c>
      <c r="B3" t="s">
        <v>169</v>
      </c>
      <c r="C3">
        <v>8</v>
      </c>
      <c r="D3">
        <v>2</v>
      </c>
      <c r="F3" s="28" t="s">
        <v>164</v>
      </c>
      <c r="G3">
        <v>188</v>
      </c>
      <c r="H3">
        <v>624</v>
      </c>
      <c r="I3">
        <v>548</v>
      </c>
      <c r="J3">
        <v>72</v>
      </c>
      <c r="K3">
        <v>1432</v>
      </c>
    </row>
    <row r="4" spans="1:11" x14ac:dyDescent="0.25">
      <c r="A4" t="s">
        <v>56</v>
      </c>
      <c r="B4" t="s">
        <v>199</v>
      </c>
      <c r="C4">
        <v>8</v>
      </c>
      <c r="D4">
        <v>8</v>
      </c>
      <c r="F4" s="28" t="s">
        <v>167</v>
      </c>
      <c r="G4">
        <v>3</v>
      </c>
      <c r="H4">
        <v>2</v>
      </c>
      <c r="I4">
        <v>2</v>
      </c>
      <c r="J4">
        <v>8</v>
      </c>
      <c r="K4">
        <v>15</v>
      </c>
    </row>
    <row r="5" spans="1:11" x14ac:dyDescent="0.25">
      <c r="A5" t="s">
        <v>56</v>
      </c>
      <c r="B5" t="s">
        <v>215</v>
      </c>
      <c r="C5">
        <v>8</v>
      </c>
      <c r="D5">
        <v>3</v>
      </c>
      <c r="F5" s="28" t="s">
        <v>169</v>
      </c>
      <c r="G5">
        <v>4</v>
      </c>
      <c r="H5">
        <v>21</v>
      </c>
      <c r="I5">
        <v>36</v>
      </c>
      <c r="J5">
        <v>13</v>
      </c>
      <c r="K5">
        <v>74</v>
      </c>
    </row>
    <row r="6" spans="1:11" x14ac:dyDescent="0.25">
      <c r="A6" t="s">
        <v>56</v>
      </c>
      <c r="B6" t="s">
        <v>261</v>
      </c>
      <c r="C6">
        <v>8</v>
      </c>
      <c r="D6">
        <v>2</v>
      </c>
      <c r="F6" s="28" t="s">
        <v>171</v>
      </c>
      <c r="H6">
        <v>20</v>
      </c>
      <c r="I6">
        <v>113</v>
      </c>
      <c r="J6">
        <v>11</v>
      </c>
      <c r="K6">
        <v>144</v>
      </c>
    </row>
    <row r="7" spans="1:11" x14ac:dyDescent="0.25">
      <c r="A7" t="s">
        <v>583</v>
      </c>
      <c r="B7" t="s">
        <v>250</v>
      </c>
      <c r="C7">
        <v>8</v>
      </c>
      <c r="D7">
        <v>3</v>
      </c>
      <c r="F7" s="28" t="s">
        <v>174</v>
      </c>
      <c r="H7">
        <v>2</v>
      </c>
      <c r="I7">
        <v>8</v>
      </c>
      <c r="K7">
        <v>10</v>
      </c>
    </row>
    <row r="8" spans="1:11" x14ac:dyDescent="0.25">
      <c r="A8" t="s">
        <v>741</v>
      </c>
      <c r="B8" t="s">
        <v>164</v>
      </c>
      <c r="C8">
        <v>8</v>
      </c>
      <c r="D8">
        <v>1</v>
      </c>
      <c r="F8" s="28" t="s">
        <v>854</v>
      </c>
      <c r="I8">
        <v>8</v>
      </c>
      <c r="K8">
        <v>8</v>
      </c>
    </row>
    <row r="9" spans="1:11" x14ac:dyDescent="0.25">
      <c r="A9" t="s">
        <v>58</v>
      </c>
      <c r="B9" t="s">
        <v>164</v>
      </c>
      <c r="C9">
        <v>8</v>
      </c>
      <c r="D9">
        <v>60</v>
      </c>
      <c r="F9" s="28" t="s">
        <v>179</v>
      </c>
      <c r="G9">
        <v>1</v>
      </c>
      <c r="H9">
        <v>3</v>
      </c>
      <c r="I9">
        <v>26</v>
      </c>
      <c r="J9">
        <v>7</v>
      </c>
      <c r="K9">
        <v>37</v>
      </c>
    </row>
    <row r="10" spans="1:11" x14ac:dyDescent="0.25">
      <c r="A10" t="s">
        <v>58</v>
      </c>
      <c r="B10" t="s">
        <v>250</v>
      </c>
      <c r="C10">
        <v>8</v>
      </c>
      <c r="D10">
        <v>4</v>
      </c>
      <c r="F10" s="28" t="s">
        <v>188</v>
      </c>
      <c r="G10">
        <v>5</v>
      </c>
      <c r="H10">
        <v>15</v>
      </c>
      <c r="I10">
        <v>5</v>
      </c>
      <c r="J10">
        <v>5</v>
      </c>
      <c r="K10">
        <v>30</v>
      </c>
    </row>
    <row r="11" spans="1:11" x14ac:dyDescent="0.25">
      <c r="A11" t="s">
        <v>825</v>
      </c>
      <c r="B11" t="s">
        <v>169</v>
      </c>
      <c r="C11">
        <v>8</v>
      </c>
      <c r="D11">
        <v>1</v>
      </c>
      <c r="F11" s="28" t="s">
        <v>190</v>
      </c>
      <c r="H11">
        <v>9</v>
      </c>
      <c r="I11">
        <v>7</v>
      </c>
      <c r="J11">
        <v>8</v>
      </c>
      <c r="K11">
        <v>24</v>
      </c>
    </row>
    <row r="12" spans="1:11" x14ac:dyDescent="0.25">
      <c r="A12" t="s">
        <v>825</v>
      </c>
      <c r="B12" t="s">
        <v>188</v>
      </c>
      <c r="C12">
        <v>8</v>
      </c>
      <c r="D12">
        <v>5</v>
      </c>
      <c r="F12" s="28" t="s">
        <v>192</v>
      </c>
      <c r="H12">
        <v>13</v>
      </c>
      <c r="I12">
        <v>0</v>
      </c>
      <c r="K12">
        <v>13</v>
      </c>
    </row>
    <row r="13" spans="1:11" x14ac:dyDescent="0.25">
      <c r="A13" t="s">
        <v>825</v>
      </c>
      <c r="B13" t="s">
        <v>250</v>
      </c>
      <c r="C13">
        <v>8</v>
      </c>
      <c r="D13">
        <v>2</v>
      </c>
      <c r="F13" s="28" t="s">
        <v>195</v>
      </c>
      <c r="H13">
        <v>2</v>
      </c>
      <c r="I13">
        <v>1</v>
      </c>
      <c r="K13">
        <v>3</v>
      </c>
    </row>
    <row r="14" spans="1:11" x14ac:dyDescent="0.25">
      <c r="A14" t="s">
        <v>825</v>
      </c>
      <c r="B14" t="s">
        <v>252</v>
      </c>
      <c r="C14">
        <v>8</v>
      </c>
      <c r="D14">
        <v>1</v>
      </c>
      <c r="F14" s="28" t="s">
        <v>197</v>
      </c>
      <c r="H14">
        <v>8</v>
      </c>
      <c r="I14">
        <v>104</v>
      </c>
      <c r="J14">
        <v>110</v>
      </c>
      <c r="K14">
        <v>222</v>
      </c>
    </row>
    <row r="15" spans="1:11" x14ac:dyDescent="0.25">
      <c r="A15" t="s">
        <v>825</v>
      </c>
      <c r="B15" t="s">
        <v>254</v>
      </c>
      <c r="C15">
        <v>8</v>
      </c>
      <c r="D15">
        <v>2</v>
      </c>
      <c r="F15" s="28" t="s">
        <v>199</v>
      </c>
      <c r="G15">
        <v>8</v>
      </c>
      <c r="K15">
        <v>8</v>
      </c>
    </row>
    <row r="16" spans="1:11" x14ac:dyDescent="0.25">
      <c r="A16" t="s">
        <v>825</v>
      </c>
      <c r="B16" t="s">
        <v>257</v>
      </c>
      <c r="C16">
        <v>8</v>
      </c>
      <c r="D16">
        <v>20.56</v>
      </c>
      <c r="F16" s="28" t="s">
        <v>207</v>
      </c>
      <c r="H16">
        <v>20</v>
      </c>
      <c r="K16">
        <v>20</v>
      </c>
    </row>
    <row r="17" spans="1:11" x14ac:dyDescent="0.25">
      <c r="A17" t="s">
        <v>305</v>
      </c>
      <c r="B17" t="s">
        <v>164</v>
      </c>
      <c r="C17">
        <v>8</v>
      </c>
      <c r="D17">
        <v>4</v>
      </c>
      <c r="F17" s="28" t="s">
        <v>210</v>
      </c>
      <c r="H17">
        <v>3</v>
      </c>
      <c r="J17">
        <v>68600</v>
      </c>
      <c r="K17">
        <v>68603</v>
      </c>
    </row>
    <row r="18" spans="1:11" x14ac:dyDescent="0.25">
      <c r="A18" t="s">
        <v>305</v>
      </c>
      <c r="B18" t="s">
        <v>179</v>
      </c>
      <c r="C18">
        <v>8</v>
      </c>
      <c r="D18">
        <v>1</v>
      </c>
      <c r="F18" s="28" t="s">
        <v>212</v>
      </c>
      <c r="H18">
        <v>3</v>
      </c>
      <c r="K18">
        <v>3</v>
      </c>
    </row>
    <row r="19" spans="1:11" x14ac:dyDescent="0.25">
      <c r="A19" t="s">
        <v>305</v>
      </c>
      <c r="B19" t="s">
        <v>217</v>
      </c>
      <c r="C19">
        <v>8</v>
      </c>
      <c r="D19">
        <v>20</v>
      </c>
      <c r="F19" s="28" t="s">
        <v>215</v>
      </c>
      <c r="G19">
        <v>4</v>
      </c>
      <c r="H19">
        <v>38</v>
      </c>
      <c r="I19">
        <v>12</v>
      </c>
      <c r="J19">
        <v>2</v>
      </c>
      <c r="K19">
        <v>56</v>
      </c>
    </row>
    <row r="20" spans="1:11" x14ac:dyDescent="0.25">
      <c r="A20" t="s">
        <v>305</v>
      </c>
      <c r="B20" t="s">
        <v>230</v>
      </c>
      <c r="C20">
        <v>8</v>
      </c>
      <c r="D20">
        <v>15</v>
      </c>
      <c r="F20" s="28" t="s">
        <v>217</v>
      </c>
      <c r="G20">
        <v>120</v>
      </c>
      <c r="H20">
        <v>15</v>
      </c>
      <c r="I20">
        <v>40</v>
      </c>
      <c r="J20">
        <v>5</v>
      </c>
      <c r="K20">
        <v>180</v>
      </c>
    </row>
    <row r="21" spans="1:11" x14ac:dyDescent="0.25">
      <c r="A21" t="s">
        <v>305</v>
      </c>
      <c r="B21" t="s">
        <v>247</v>
      </c>
      <c r="C21">
        <v>8</v>
      </c>
      <c r="D21">
        <v>15</v>
      </c>
      <c r="F21" s="28" t="s">
        <v>219</v>
      </c>
      <c r="H21">
        <v>1</v>
      </c>
      <c r="I21">
        <v>5</v>
      </c>
      <c r="J21">
        <v>2</v>
      </c>
      <c r="K21">
        <v>8</v>
      </c>
    </row>
    <row r="22" spans="1:11" x14ac:dyDescent="0.25">
      <c r="A22" t="s">
        <v>305</v>
      </c>
      <c r="B22" t="s">
        <v>254</v>
      </c>
      <c r="C22">
        <v>8</v>
      </c>
      <c r="D22">
        <v>0</v>
      </c>
      <c r="F22" s="28" t="s">
        <v>221</v>
      </c>
      <c r="I22">
        <v>6</v>
      </c>
      <c r="K22">
        <v>6</v>
      </c>
    </row>
    <row r="23" spans="1:11" x14ac:dyDescent="0.25">
      <c r="A23" t="s">
        <v>305</v>
      </c>
      <c r="B23" t="s">
        <v>167</v>
      </c>
      <c r="C23">
        <v>8</v>
      </c>
      <c r="D23">
        <v>3</v>
      </c>
      <c r="F23" s="28" t="s">
        <v>223</v>
      </c>
      <c r="H23">
        <v>4</v>
      </c>
      <c r="I23">
        <v>26</v>
      </c>
      <c r="J23">
        <v>6</v>
      </c>
      <c r="K23">
        <v>36</v>
      </c>
    </row>
    <row r="24" spans="1:11" x14ac:dyDescent="0.25">
      <c r="A24" t="s">
        <v>305</v>
      </c>
      <c r="B24" t="s">
        <v>169</v>
      </c>
      <c r="C24">
        <v>8</v>
      </c>
      <c r="D24">
        <v>1</v>
      </c>
      <c r="F24" s="28" t="s">
        <v>225</v>
      </c>
      <c r="J24">
        <v>200</v>
      </c>
      <c r="K24">
        <v>200</v>
      </c>
    </row>
    <row r="25" spans="1:11" x14ac:dyDescent="0.25">
      <c r="A25" t="s">
        <v>305</v>
      </c>
      <c r="B25" t="s">
        <v>215</v>
      </c>
      <c r="C25">
        <v>8</v>
      </c>
      <c r="D25">
        <v>1</v>
      </c>
      <c r="F25" s="28" t="s">
        <v>227</v>
      </c>
      <c r="H25">
        <v>2</v>
      </c>
      <c r="J25">
        <v>1</v>
      </c>
      <c r="K25">
        <v>3</v>
      </c>
    </row>
    <row r="26" spans="1:11" x14ac:dyDescent="0.25">
      <c r="A26" t="s">
        <v>305</v>
      </c>
      <c r="B26" t="s">
        <v>217</v>
      </c>
      <c r="C26">
        <v>8</v>
      </c>
      <c r="D26">
        <v>100</v>
      </c>
      <c r="F26" s="28" t="s">
        <v>230</v>
      </c>
      <c r="G26">
        <v>15</v>
      </c>
      <c r="H26">
        <v>3</v>
      </c>
      <c r="I26">
        <v>0</v>
      </c>
      <c r="J26">
        <v>4</v>
      </c>
      <c r="K26">
        <v>22</v>
      </c>
    </row>
    <row r="27" spans="1:11" x14ac:dyDescent="0.25">
      <c r="A27" t="s">
        <v>305</v>
      </c>
      <c r="B27" t="s">
        <v>245</v>
      </c>
      <c r="C27">
        <v>8</v>
      </c>
      <c r="D27">
        <v>2</v>
      </c>
      <c r="F27" s="28" t="s">
        <v>232</v>
      </c>
      <c r="H27">
        <v>2</v>
      </c>
      <c r="I27">
        <v>6</v>
      </c>
      <c r="J27">
        <v>4</v>
      </c>
      <c r="K27">
        <v>12</v>
      </c>
    </row>
    <row r="28" spans="1:11" x14ac:dyDescent="0.25">
      <c r="A28" t="s">
        <v>305</v>
      </c>
      <c r="B28" t="s">
        <v>252</v>
      </c>
      <c r="C28">
        <v>8</v>
      </c>
      <c r="D28">
        <v>1</v>
      </c>
      <c r="F28" s="28" t="s">
        <v>234</v>
      </c>
      <c r="I28">
        <v>2</v>
      </c>
      <c r="K28">
        <v>2</v>
      </c>
    </row>
    <row r="29" spans="1:11" x14ac:dyDescent="0.25">
      <c r="A29" t="s">
        <v>62</v>
      </c>
      <c r="B29" t="s">
        <v>164</v>
      </c>
      <c r="C29">
        <v>8</v>
      </c>
      <c r="D29">
        <v>60</v>
      </c>
      <c r="F29" s="28" t="s">
        <v>236</v>
      </c>
      <c r="H29">
        <v>1</v>
      </c>
      <c r="K29">
        <v>1</v>
      </c>
    </row>
    <row r="30" spans="1:11" x14ac:dyDescent="0.25">
      <c r="A30" t="s">
        <v>64</v>
      </c>
      <c r="B30" t="s">
        <v>164</v>
      </c>
      <c r="C30">
        <v>8</v>
      </c>
      <c r="D30">
        <v>60</v>
      </c>
      <c r="F30" s="28" t="s">
        <v>238</v>
      </c>
      <c r="H30">
        <v>8500</v>
      </c>
      <c r="I30">
        <v>980048</v>
      </c>
      <c r="J30">
        <v>92</v>
      </c>
      <c r="K30">
        <v>988640</v>
      </c>
    </row>
    <row r="31" spans="1:11" x14ac:dyDescent="0.25">
      <c r="A31" t="s">
        <v>306</v>
      </c>
      <c r="B31" t="s">
        <v>164</v>
      </c>
      <c r="C31">
        <v>9</v>
      </c>
      <c r="D31">
        <v>0</v>
      </c>
      <c r="F31" s="28" t="s">
        <v>240</v>
      </c>
      <c r="H31">
        <v>53</v>
      </c>
      <c r="I31">
        <v>1300</v>
      </c>
      <c r="J31">
        <v>10</v>
      </c>
      <c r="K31">
        <v>1363</v>
      </c>
    </row>
    <row r="32" spans="1:11" x14ac:dyDescent="0.25">
      <c r="A32" t="s">
        <v>306</v>
      </c>
      <c r="B32" t="s">
        <v>169</v>
      </c>
      <c r="C32">
        <v>9</v>
      </c>
      <c r="D32">
        <v>6</v>
      </c>
      <c r="F32" s="28" t="s">
        <v>243</v>
      </c>
      <c r="I32">
        <v>54</v>
      </c>
      <c r="J32">
        <v>0</v>
      </c>
      <c r="K32">
        <v>54</v>
      </c>
    </row>
    <row r="33" spans="1:11" x14ac:dyDescent="0.25">
      <c r="A33" t="s">
        <v>306</v>
      </c>
      <c r="B33" t="s">
        <v>190</v>
      </c>
      <c r="C33">
        <v>9</v>
      </c>
      <c r="D33">
        <v>3</v>
      </c>
      <c r="F33" s="28" t="s">
        <v>245</v>
      </c>
      <c r="G33">
        <v>2</v>
      </c>
      <c r="H33">
        <v>25</v>
      </c>
      <c r="I33">
        <v>43</v>
      </c>
      <c r="J33">
        <v>20</v>
      </c>
      <c r="K33">
        <v>90</v>
      </c>
    </row>
    <row r="34" spans="1:11" x14ac:dyDescent="0.25">
      <c r="A34" t="s">
        <v>306</v>
      </c>
      <c r="B34" t="s">
        <v>215</v>
      </c>
      <c r="C34">
        <v>9</v>
      </c>
      <c r="D34">
        <v>1</v>
      </c>
      <c r="F34" s="28" t="s">
        <v>247</v>
      </c>
      <c r="G34">
        <v>15</v>
      </c>
      <c r="H34">
        <v>3006</v>
      </c>
      <c r="I34">
        <v>0</v>
      </c>
      <c r="J34">
        <v>5</v>
      </c>
      <c r="K34">
        <v>3026</v>
      </c>
    </row>
    <row r="35" spans="1:11" x14ac:dyDescent="0.25">
      <c r="A35" t="s">
        <v>306</v>
      </c>
      <c r="B35" t="s">
        <v>217</v>
      </c>
      <c r="C35">
        <v>9</v>
      </c>
      <c r="D35">
        <v>1</v>
      </c>
      <c r="F35" s="28" t="s">
        <v>250</v>
      </c>
      <c r="G35">
        <v>9</v>
      </c>
      <c r="H35">
        <v>14</v>
      </c>
      <c r="I35">
        <v>15</v>
      </c>
      <c r="J35">
        <v>6</v>
      </c>
      <c r="K35">
        <v>44</v>
      </c>
    </row>
    <row r="36" spans="1:11" x14ac:dyDescent="0.25">
      <c r="A36" t="s">
        <v>306</v>
      </c>
      <c r="B36" t="s">
        <v>164</v>
      </c>
      <c r="C36">
        <v>9</v>
      </c>
      <c r="D36">
        <v>30</v>
      </c>
      <c r="F36" s="28" t="s">
        <v>252</v>
      </c>
      <c r="G36">
        <v>2</v>
      </c>
      <c r="H36">
        <v>1</v>
      </c>
      <c r="I36">
        <v>1</v>
      </c>
      <c r="J36">
        <v>10</v>
      </c>
      <c r="K36">
        <v>14</v>
      </c>
    </row>
    <row r="37" spans="1:11" x14ac:dyDescent="0.25">
      <c r="A37" t="s">
        <v>307</v>
      </c>
      <c r="B37" t="s">
        <v>164</v>
      </c>
      <c r="C37">
        <v>9</v>
      </c>
      <c r="D37">
        <v>3</v>
      </c>
      <c r="F37" s="28" t="s">
        <v>254</v>
      </c>
      <c r="G37">
        <v>2</v>
      </c>
      <c r="H37">
        <v>5</v>
      </c>
      <c r="I37">
        <v>19</v>
      </c>
      <c r="J37">
        <v>15</v>
      </c>
      <c r="K37">
        <v>41</v>
      </c>
    </row>
    <row r="38" spans="1:11" x14ac:dyDescent="0.25">
      <c r="A38" t="s">
        <v>307</v>
      </c>
      <c r="B38" t="s">
        <v>169</v>
      </c>
      <c r="C38">
        <v>9</v>
      </c>
      <c r="D38">
        <v>1</v>
      </c>
      <c r="F38" s="28" t="s">
        <v>257</v>
      </c>
      <c r="G38">
        <v>20.56</v>
      </c>
      <c r="H38">
        <v>8761</v>
      </c>
      <c r="I38">
        <v>0</v>
      </c>
      <c r="J38">
        <v>658000</v>
      </c>
      <c r="K38">
        <v>666781.56000000006</v>
      </c>
    </row>
    <row r="39" spans="1:11" x14ac:dyDescent="0.25">
      <c r="A39" t="s">
        <v>307</v>
      </c>
      <c r="B39" t="s">
        <v>179</v>
      </c>
      <c r="C39">
        <v>9</v>
      </c>
      <c r="D39">
        <v>1</v>
      </c>
      <c r="F39" s="28" t="s">
        <v>259</v>
      </c>
      <c r="I39">
        <v>0</v>
      </c>
      <c r="J39">
        <v>0</v>
      </c>
      <c r="K39">
        <v>0</v>
      </c>
    </row>
    <row r="40" spans="1:11" x14ac:dyDescent="0.25">
      <c r="A40" t="s">
        <v>307</v>
      </c>
      <c r="B40" t="s">
        <v>190</v>
      </c>
      <c r="C40">
        <v>9</v>
      </c>
      <c r="D40">
        <v>1</v>
      </c>
      <c r="F40" s="28" t="s">
        <v>261</v>
      </c>
      <c r="G40">
        <v>2</v>
      </c>
      <c r="H40">
        <v>1</v>
      </c>
      <c r="I40">
        <v>3</v>
      </c>
      <c r="J40">
        <v>6</v>
      </c>
      <c r="K40">
        <v>12</v>
      </c>
    </row>
    <row r="41" spans="1:11" x14ac:dyDescent="0.25">
      <c r="A41" t="s">
        <v>307</v>
      </c>
      <c r="B41" t="s">
        <v>210</v>
      </c>
      <c r="C41">
        <v>9</v>
      </c>
      <c r="D41">
        <v>3</v>
      </c>
      <c r="F41" s="28" t="s">
        <v>263</v>
      </c>
      <c r="I41">
        <v>2</v>
      </c>
      <c r="J41">
        <v>30</v>
      </c>
      <c r="K41">
        <v>32</v>
      </c>
    </row>
    <row r="42" spans="1:11" x14ac:dyDescent="0.25">
      <c r="A42" t="s">
        <v>307</v>
      </c>
      <c r="B42" t="s">
        <v>215</v>
      </c>
      <c r="C42">
        <v>9</v>
      </c>
      <c r="D42">
        <v>2</v>
      </c>
      <c r="F42" s="28" t="s">
        <v>277</v>
      </c>
      <c r="J42">
        <v>21</v>
      </c>
      <c r="K42">
        <v>21</v>
      </c>
    </row>
    <row r="43" spans="1:11" x14ac:dyDescent="0.25">
      <c r="A43" t="s">
        <v>307</v>
      </c>
      <c r="B43" t="s">
        <v>227</v>
      </c>
      <c r="C43">
        <v>9</v>
      </c>
      <c r="D43">
        <v>2</v>
      </c>
      <c r="F43" s="28" t="s">
        <v>279</v>
      </c>
      <c r="I43">
        <v>1.62</v>
      </c>
      <c r="J43">
        <v>318</v>
      </c>
      <c r="K43">
        <v>319.62</v>
      </c>
    </row>
    <row r="44" spans="1:11" x14ac:dyDescent="0.25">
      <c r="A44" t="s">
        <v>307</v>
      </c>
      <c r="B44" t="s">
        <v>230</v>
      </c>
      <c r="C44">
        <v>9</v>
      </c>
      <c r="D44">
        <v>3</v>
      </c>
      <c r="F44" s="28" t="s">
        <v>287</v>
      </c>
      <c r="J44">
        <v>5</v>
      </c>
      <c r="K44">
        <v>5</v>
      </c>
    </row>
    <row r="45" spans="1:11" x14ac:dyDescent="0.25">
      <c r="A45" t="s">
        <v>307</v>
      </c>
      <c r="B45" t="s">
        <v>238</v>
      </c>
      <c r="C45">
        <v>9</v>
      </c>
      <c r="D45">
        <v>3000</v>
      </c>
      <c r="F45" s="28" t="s">
        <v>294</v>
      </c>
      <c r="I45">
        <v>1</v>
      </c>
      <c r="J45">
        <v>3</v>
      </c>
      <c r="K45">
        <v>4</v>
      </c>
    </row>
    <row r="46" spans="1:11" x14ac:dyDescent="0.25">
      <c r="A46" t="s">
        <v>307</v>
      </c>
      <c r="B46" t="s">
        <v>245</v>
      </c>
      <c r="C46">
        <v>9</v>
      </c>
      <c r="D46">
        <v>5</v>
      </c>
      <c r="F46" s="28" t="s">
        <v>853</v>
      </c>
      <c r="G46">
        <v>400.56</v>
      </c>
      <c r="H46">
        <v>21177</v>
      </c>
      <c r="I46">
        <v>982442.62</v>
      </c>
      <c r="J46">
        <v>727599</v>
      </c>
      <c r="K46">
        <v>1731619.1800000002</v>
      </c>
    </row>
    <row r="47" spans="1:11" x14ac:dyDescent="0.25">
      <c r="A47" t="s">
        <v>307</v>
      </c>
      <c r="B47" t="s">
        <v>250</v>
      </c>
      <c r="C47">
        <v>9</v>
      </c>
      <c r="D47">
        <v>1</v>
      </c>
    </row>
    <row r="48" spans="1:11" x14ac:dyDescent="0.25">
      <c r="A48" t="s">
        <v>307</v>
      </c>
      <c r="B48" t="s">
        <v>252</v>
      </c>
      <c r="C48">
        <v>9</v>
      </c>
      <c r="D48">
        <v>1</v>
      </c>
    </row>
    <row r="49" spans="1:4" x14ac:dyDescent="0.25">
      <c r="A49" t="s">
        <v>307</v>
      </c>
      <c r="B49" t="s">
        <v>254</v>
      </c>
      <c r="C49">
        <v>9</v>
      </c>
      <c r="D49">
        <v>1</v>
      </c>
    </row>
    <row r="50" spans="1:4" x14ac:dyDescent="0.25">
      <c r="A50" t="s">
        <v>307</v>
      </c>
      <c r="B50" t="s">
        <v>212</v>
      </c>
      <c r="C50">
        <v>9</v>
      </c>
      <c r="D50">
        <v>3</v>
      </c>
    </row>
    <row r="51" spans="1:4" x14ac:dyDescent="0.25">
      <c r="A51" t="s">
        <v>307</v>
      </c>
      <c r="B51" t="s">
        <v>238</v>
      </c>
      <c r="C51">
        <v>9</v>
      </c>
      <c r="D51">
        <v>1000</v>
      </c>
    </row>
    <row r="52" spans="1:4" x14ac:dyDescent="0.25">
      <c r="A52" t="s">
        <v>66</v>
      </c>
      <c r="B52" t="s">
        <v>164</v>
      </c>
      <c r="C52">
        <v>9</v>
      </c>
      <c r="D52">
        <v>10</v>
      </c>
    </row>
    <row r="53" spans="1:4" x14ac:dyDescent="0.25">
      <c r="A53" t="s">
        <v>68</v>
      </c>
      <c r="B53" t="s">
        <v>164</v>
      </c>
      <c r="C53">
        <v>9</v>
      </c>
      <c r="D53">
        <v>60</v>
      </c>
    </row>
    <row r="54" spans="1:4" x14ac:dyDescent="0.25">
      <c r="A54" t="s">
        <v>68</v>
      </c>
      <c r="B54" t="s">
        <v>250</v>
      </c>
      <c r="C54">
        <v>9</v>
      </c>
      <c r="D54">
        <v>4</v>
      </c>
    </row>
    <row r="55" spans="1:4" x14ac:dyDescent="0.25">
      <c r="A55" t="s">
        <v>72</v>
      </c>
      <c r="B55" t="s">
        <v>164</v>
      </c>
      <c r="C55">
        <v>9</v>
      </c>
      <c r="D55">
        <v>300</v>
      </c>
    </row>
    <row r="56" spans="1:4" x14ac:dyDescent="0.25">
      <c r="A56" t="s">
        <v>72</v>
      </c>
      <c r="B56" t="s">
        <v>171</v>
      </c>
      <c r="C56">
        <v>9</v>
      </c>
      <c r="D56">
        <v>20</v>
      </c>
    </row>
    <row r="57" spans="1:4" x14ac:dyDescent="0.25">
      <c r="A57" t="s">
        <v>72</v>
      </c>
      <c r="B57" t="s">
        <v>215</v>
      </c>
      <c r="C57">
        <v>9</v>
      </c>
      <c r="D57">
        <v>1</v>
      </c>
    </row>
    <row r="58" spans="1:4" x14ac:dyDescent="0.25">
      <c r="A58" t="s">
        <v>74</v>
      </c>
      <c r="B58" t="s">
        <v>164</v>
      </c>
      <c r="C58">
        <v>9</v>
      </c>
      <c r="D58">
        <v>21</v>
      </c>
    </row>
    <row r="59" spans="1:4" x14ac:dyDescent="0.25">
      <c r="A59" t="s">
        <v>74</v>
      </c>
      <c r="B59" t="s">
        <v>169</v>
      </c>
      <c r="C59">
        <v>9</v>
      </c>
      <c r="D59">
        <v>4</v>
      </c>
    </row>
    <row r="60" spans="1:4" x14ac:dyDescent="0.25">
      <c r="A60" t="s">
        <v>74</v>
      </c>
      <c r="B60" t="s">
        <v>190</v>
      </c>
      <c r="C60">
        <v>9</v>
      </c>
      <c r="D60">
        <v>1</v>
      </c>
    </row>
    <row r="61" spans="1:4" x14ac:dyDescent="0.25">
      <c r="A61" t="s">
        <v>74</v>
      </c>
      <c r="B61" t="s">
        <v>215</v>
      </c>
      <c r="C61">
        <v>9</v>
      </c>
      <c r="D61">
        <v>1</v>
      </c>
    </row>
    <row r="62" spans="1:4" x14ac:dyDescent="0.25">
      <c r="A62" t="s">
        <v>74</v>
      </c>
      <c r="B62" t="s">
        <v>257</v>
      </c>
      <c r="C62">
        <v>9</v>
      </c>
      <c r="D62">
        <v>400</v>
      </c>
    </row>
    <row r="63" spans="1:4" x14ac:dyDescent="0.25">
      <c r="A63" t="s">
        <v>604</v>
      </c>
      <c r="B63" t="s">
        <v>190</v>
      </c>
      <c r="C63">
        <v>9</v>
      </c>
      <c r="D63">
        <v>1</v>
      </c>
    </row>
    <row r="64" spans="1:4" x14ac:dyDescent="0.25">
      <c r="A64" t="s">
        <v>604</v>
      </c>
      <c r="B64" t="s">
        <v>217</v>
      </c>
      <c r="C64">
        <v>9</v>
      </c>
      <c r="D64">
        <v>1</v>
      </c>
    </row>
    <row r="65" spans="1:4" x14ac:dyDescent="0.25">
      <c r="A65" t="s">
        <v>604</v>
      </c>
      <c r="B65" t="s">
        <v>240</v>
      </c>
      <c r="C65">
        <v>9</v>
      </c>
      <c r="D65">
        <v>53</v>
      </c>
    </row>
    <row r="66" spans="1:4" x14ac:dyDescent="0.25">
      <c r="A66" t="s">
        <v>76</v>
      </c>
      <c r="B66" t="s">
        <v>164</v>
      </c>
      <c r="C66">
        <v>9</v>
      </c>
      <c r="D66">
        <v>10</v>
      </c>
    </row>
    <row r="67" spans="1:4" x14ac:dyDescent="0.25">
      <c r="A67" t="s">
        <v>76</v>
      </c>
      <c r="B67" t="s">
        <v>169</v>
      </c>
      <c r="C67">
        <v>9</v>
      </c>
      <c r="D67">
        <v>4</v>
      </c>
    </row>
    <row r="68" spans="1:4" x14ac:dyDescent="0.25">
      <c r="A68" t="s">
        <v>76</v>
      </c>
      <c r="B68" t="s">
        <v>188</v>
      </c>
      <c r="C68">
        <v>9</v>
      </c>
      <c r="D68">
        <v>2</v>
      </c>
    </row>
    <row r="69" spans="1:4" x14ac:dyDescent="0.25">
      <c r="A69" t="s">
        <v>76</v>
      </c>
      <c r="B69" t="s">
        <v>215</v>
      </c>
      <c r="C69">
        <v>9</v>
      </c>
      <c r="D69">
        <v>2</v>
      </c>
    </row>
    <row r="70" spans="1:4" x14ac:dyDescent="0.25">
      <c r="A70" t="s">
        <v>76</v>
      </c>
      <c r="B70" t="s">
        <v>257</v>
      </c>
      <c r="C70">
        <v>9</v>
      </c>
      <c r="D70">
        <v>10</v>
      </c>
    </row>
    <row r="71" spans="1:4" x14ac:dyDescent="0.25">
      <c r="A71" t="s">
        <v>78</v>
      </c>
      <c r="B71" t="s">
        <v>164</v>
      </c>
      <c r="C71">
        <v>9</v>
      </c>
      <c r="D71">
        <v>3</v>
      </c>
    </row>
    <row r="72" spans="1:4" x14ac:dyDescent="0.25">
      <c r="A72" t="s">
        <v>78</v>
      </c>
      <c r="B72" t="s">
        <v>188</v>
      </c>
      <c r="C72">
        <v>9</v>
      </c>
      <c r="D72">
        <v>3</v>
      </c>
    </row>
    <row r="73" spans="1:4" x14ac:dyDescent="0.25">
      <c r="A73" t="s">
        <v>78</v>
      </c>
      <c r="B73" t="s">
        <v>215</v>
      </c>
      <c r="C73">
        <v>9</v>
      </c>
      <c r="D73">
        <v>19</v>
      </c>
    </row>
    <row r="74" spans="1:4" x14ac:dyDescent="0.25">
      <c r="A74" t="s">
        <v>78</v>
      </c>
      <c r="B74" t="s">
        <v>217</v>
      </c>
      <c r="C74">
        <v>9</v>
      </c>
      <c r="D74">
        <v>10</v>
      </c>
    </row>
    <row r="75" spans="1:4" x14ac:dyDescent="0.25">
      <c r="A75" t="s">
        <v>78</v>
      </c>
      <c r="B75" t="s">
        <v>257</v>
      </c>
      <c r="C75">
        <v>9</v>
      </c>
      <c r="D75">
        <v>500</v>
      </c>
    </row>
    <row r="76" spans="1:4" x14ac:dyDescent="0.25">
      <c r="A76" t="s">
        <v>308</v>
      </c>
      <c r="B76" t="s">
        <v>164</v>
      </c>
      <c r="C76">
        <v>9</v>
      </c>
      <c r="D76">
        <v>19</v>
      </c>
    </row>
    <row r="77" spans="1:4" x14ac:dyDescent="0.25">
      <c r="A77" t="s">
        <v>308</v>
      </c>
      <c r="B77" t="s">
        <v>188</v>
      </c>
      <c r="C77">
        <v>9</v>
      </c>
      <c r="D77">
        <v>6</v>
      </c>
    </row>
    <row r="78" spans="1:4" x14ac:dyDescent="0.25">
      <c r="A78" t="s">
        <v>308</v>
      </c>
      <c r="B78" t="s">
        <v>257</v>
      </c>
      <c r="C78">
        <v>9</v>
      </c>
      <c r="D78">
        <v>7850</v>
      </c>
    </row>
    <row r="79" spans="1:4" x14ac:dyDescent="0.25">
      <c r="A79" t="s">
        <v>606</v>
      </c>
      <c r="B79" t="s">
        <v>169</v>
      </c>
      <c r="C79">
        <v>9</v>
      </c>
      <c r="D79">
        <v>2</v>
      </c>
    </row>
    <row r="80" spans="1:4" x14ac:dyDescent="0.25">
      <c r="A80" t="s">
        <v>606</v>
      </c>
      <c r="B80" t="s">
        <v>179</v>
      </c>
      <c r="C80">
        <v>9</v>
      </c>
      <c r="D80">
        <v>1</v>
      </c>
    </row>
    <row r="81" spans="1:4" x14ac:dyDescent="0.25">
      <c r="A81" t="s">
        <v>606</v>
      </c>
      <c r="B81" t="s">
        <v>188</v>
      </c>
      <c r="C81">
        <v>9</v>
      </c>
      <c r="D81">
        <v>1</v>
      </c>
    </row>
    <row r="82" spans="1:4" x14ac:dyDescent="0.25">
      <c r="A82" t="s">
        <v>606</v>
      </c>
      <c r="B82" t="s">
        <v>219</v>
      </c>
      <c r="C82">
        <v>9</v>
      </c>
      <c r="D82">
        <v>1</v>
      </c>
    </row>
    <row r="83" spans="1:4" x14ac:dyDescent="0.25">
      <c r="A83" t="s">
        <v>82</v>
      </c>
      <c r="B83" t="s">
        <v>164</v>
      </c>
      <c r="C83">
        <v>9</v>
      </c>
      <c r="D83">
        <v>60</v>
      </c>
    </row>
    <row r="84" spans="1:4" x14ac:dyDescent="0.25">
      <c r="A84" t="s">
        <v>82</v>
      </c>
      <c r="B84" t="s">
        <v>250</v>
      </c>
      <c r="C84">
        <v>9</v>
      </c>
      <c r="D84">
        <v>4</v>
      </c>
    </row>
    <row r="85" spans="1:4" x14ac:dyDescent="0.25">
      <c r="A85" t="s">
        <v>84</v>
      </c>
      <c r="B85" t="s">
        <v>188</v>
      </c>
      <c r="C85">
        <v>9</v>
      </c>
      <c r="D85">
        <v>2</v>
      </c>
    </row>
    <row r="86" spans="1:4" x14ac:dyDescent="0.25">
      <c r="A86" t="s">
        <v>84</v>
      </c>
      <c r="B86" t="s">
        <v>215</v>
      </c>
      <c r="C86">
        <v>9</v>
      </c>
      <c r="D86">
        <v>2</v>
      </c>
    </row>
    <row r="87" spans="1:4" x14ac:dyDescent="0.25">
      <c r="A87" t="s">
        <v>84</v>
      </c>
      <c r="B87" t="s">
        <v>236</v>
      </c>
      <c r="C87">
        <v>9</v>
      </c>
      <c r="D87">
        <v>1</v>
      </c>
    </row>
    <row r="88" spans="1:4" x14ac:dyDescent="0.25">
      <c r="A88" t="s">
        <v>90</v>
      </c>
      <c r="B88" t="s">
        <v>169</v>
      </c>
      <c r="C88">
        <v>9</v>
      </c>
      <c r="D88">
        <v>2</v>
      </c>
    </row>
    <row r="89" spans="1:4" x14ac:dyDescent="0.25">
      <c r="A89" t="s">
        <v>90</v>
      </c>
      <c r="B89" t="s">
        <v>190</v>
      </c>
      <c r="C89">
        <v>9</v>
      </c>
      <c r="D89">
        <v>3</v>
      </c>
    </row>
    <row r="90" spans="1:4" x14ac:dyDescent="0.25">
      <c r="A90" t="s">
        <v>90</v>
      </c>
      <c r="B90" t="s">
        <v>215</v>
      </c>
      <c r="C90">
        <v>9</v>
      </c>
      <c r="D90">
        <v>2</v>
      </c>
    </row>
    <row r="91" spans="1:4" x14ac:dyDescent="0.25">
      <c r="A91" t="s">
        <v>90</v>
      </c>
      <c r="B91" t="s">
        <v>238</v>
      </c>
      <c r="C91">
        <v>9</v>
      </c>
      <c r="D91">
        <v>1500</v>
      </c>
    </row>
    <row r="92" spans="1:4" x14ac:dyDescent="0.25">
      <c r="A92" t="s">
        <v>90</v>
      </c>
      <c r="B92" t="s">
        <v>261</v>
      </c>
      <c r="C92">
        <v>9</v>
      </c>
      <c r="D92">
        <v>1</v>
      </c>
    </row>
    <row r="93" spans="1:4" x14ac:dyDescent="0.25">
      <c r="A93" t="s">
        <v>96</v>
      </c>
      <c r="B93" t="s">
        <v>164</v>
      </c>
      <c r="C93">
        <v>9</v>
      </c>
      <c r="D93">
        <v>6</v>
      </c>
    </row>
    <row r="94" spans="1:4" x14ac:dyDescent="0.25">
      <c r="A94" t="s">
        <v>96</v>
      </c>
      <c r="B94" t="s">
        <v>188</v>
      </c>
      <c r="C94">
        <v>9</v>
      </c>
      <c r="D94">
        <v>1</v>
      </c>
    </row>
    <row r="95" spans="1:4" x14ac:dyDescent="0.25">
      <c r="A95" t="s">
        <v>96</v>
      </c>
      <c r="B95" t="s">
        <v>215</v>
      </c>
      <c r="C95">
        <v>9</v>
      </c>
      <c r="D95">
        <v>6</v>
      </c>
    </row>
    <row r="96" spans="1:4" x14ac:dyDescent="0.25">
      <c r="A96" t="s">
        <v>96</v>
      </c>
      <c r="B96" t="s">
        <v>223</v>
      </c>
      <c r="C96">
        <v>9</v>
      </c>
      <c r="D96">
        <v>4</v>
      </c>
    </row>
    <row r="97" spans="1:4" x14ac:dyDescent="0.25">
      <c r="A97" t="s">
        <v>96</v>
      </c>
      <c r="B97" t="s">
        <v>250</v>
      </c>
      <c r="C97">
        <v>9</v>
      </c>
      <c r="D97">
        <v>3</v>
      </c>
    </row>
    <row r="98" spans="1:4" x14ac:dyDescent="0.25">
      <c r="A98" t="s">
        <v>98</v>
      </c>
      <c r="B98" t="s">
        <v>164</v>
      </c>
      <c r="C98">
        <v>9</v>
      </c>
      <c r="D98">
        <v>40</v>
      </c>
    </row>
    <row r="99" spans="1:4" x14ac:dyDescent="0.25">
      <c r="A99" t="s">
        <v>98</v>
      </c>
      <c r="B99" t="s">
        <v>174</v>
      </c>
      <c r="C99">
        <v>9</v>
      </c>
      <c r="D99">
        <v>2</v>
      </c>
    </row>
    <row r="100" spans="1:4" x14ac:dyDescent="0.25">
      <c r="A100" t="s">
        <v>98</v>
      </c>
      <c r="B100" t="s">
        <v>179</v>
      </c>
      <c r="C100">
        <v>9</v>
      </c>
      <c r="D100">
        <v>1</v>
      </c>
    </row>
    <row r="101" spans="1:4" x14ac:dyDescent="0.25">
      <c r="A101" t="s">
        <v>98</v>
      </c>
      <c r="B101" t="s">
        <v>195</v>
      </c>
      <c r="C101">
        <v>9</v>
      </c>
      <c r="D101">
        <v>2</v>
      </c>
    </row>
    <row r="102" spans="1:4" x14ac:dyDescent="0.25">
      <c r="A102" t="s">
        <v>98</v>
      </c>
      <c r="B102" t="s">
        <v>197</v>
      </c>
      <c r="C102">
        <v>9</v>
      </c>
      <c r="D102">
        <v>8</v>
      </c>
    </row>
    <row r="103" spans="1:4" x14ac:dyDescent="0.25">
      <c r="A103" t="s">
        <v>98</v>
      </c>
      <c r="B103" t="s">
        <v>217</v>
      </c>
      <c r="C103">
        <v>9</v>
      </c>
      <c r="D103">
        <v>1</v>
      </c>
    </row>
    <row r="104" spans="1:4" x14ac:dyDescent="0.25">
      <c r="A104" t="s">
        <v>98</v>
      </c>
      <c r="B104" t="s">
        <v>250</v>
      </c>
      <c r="C104">
        <v>9</v>
      </c>
      <c r="D104">
        <v>2</v>
      </c>
    </row>
    <row r="105" spans="1:4" x14ac:dyDescent="0.25">
      <c r="A105" t="s">
        <v>98</v>
      </c>
      <c r="B105" t="s">
        <v>257</v>
      </c>
      <c r="C105">
        <v>9</v>
      </c>
      <c r="D105">
        <v>1</v>
      </c>
    </row>
    <row r="106" spans="1:4" x14ac:dyDescent="0.25">
      <c r="A106" t="s">
        <v>100</v>
      </c>
      <c r="B106" t="s">
        <v>164</v>
      </c>
      <c r="C106">
        <v>9</v>
      </c>
      <c r="D106">
        <v>26</v>
      </c>
    </row>
    <row r="107" spans="1:4" x14ac:dyDescent="0.25">
      <c r="A107" t="s">
        <v>100</v>
      </c>
      <c r="B107" t="s">
        <v>207</v>
      </c>
      <c r="C107">
        <v>9</v>
      </c>
      <c r="D107">
        <v>20</v>
      </c>
    </row>
    <row r="108" spans="1:4" x14ac:dyDescent="0.25">
      <c r="A108" t="s">
        <v>100</v>
      </c>
      <c r="B108" t="s">
        <v>215</v>
      </c>
      <c r="C108">
        <v>9</v>
      </c>
      <c r="D108">
        <v>2</v>
      </c>
    </row>
    <row r="109" spans="1:4" x14ac:dyDescent="0.25">
      <c r="A109" t="s">
        <v>100</v>
      </c>
      <c r="B109" t="s">
        <v>217</v>
      </c>
      <c r="C109">
        <v>9</v>
      </c>
      <c r="D109">
        <v>2</v>
      </c>
    </row>
    <row r="110" spans="1:4" x14ac:dyDescent="0.25">
      <c r="A110" t="s">
        <v>100</v>
      </c>
      <c r="B110" t="s">
        <v>247</v>
      </c>
      <c r="C110">
        <v>9</v>
      </c>
      <c r="D110">
        <v>6</v>
      </c>
    </row>
    <row r="111" spans="1:4" x14ac:dyDescent="0.25">
      <c r="A111" t="s">
        <v>100</v>
      </c>
      <c r="B111" t="s">
        <v>254</v>
      </c>
      <c r="C111">
        <v>9</v>
      </c>
      <c r="D111">
        <v>4</v>
      </c>
    </row>
    <row r="112" spans="1:4" x14ac:dyDescent="0.25">
      <c r="A112" t="s">
        <v>104</v>
      </c>
      <c r="B112" t="s">
        <v>167</v>
      </c>
      <c r="C112">
        <v>9</v>
      </c>
      <c r="D112">
        <v>2</v>
      </c>
    </row>
    <row r="113" spans="1:4" x14ac:dyDescent="0.25">
      <c r="A113" t="s">
        <v>104</v>
      </c>
      <c r="B113" t="s">
        <v>169</v>
      </c>
      <c r="C113">
        <v>9</v>
      </c>
      <c r="D113">
        <v>2</v>
      </c>
    </row>
    <row r="114" spans="1:4" x14ac:dyDescent="0.25">
      <c r="A114" t="s">
        <v>104</v>
      </c>
      <c r="B114" t="s">
        <v>192</v>
      </c>
      <c r="C114">
        <v>9</v>
      </c>
      <c r="D114">
        <v>13</v>
      </c>
    </row>
    <row r="115" spans="1:4" x14ac:dyDescent="0.25">
      <c r="A115" t="s">
        <v>104</v>
      </c>
      <c r="B115" t="s">
        <v>232</v>
      </c>
      <c r="C115">
        <v>9</v>
      </c>
      <c r="D115">
        <v>2</v>
      </c>
    </row>
    <row r="116" spans="1:4" x14ac:dyDescent="0.25">
      <c r="A116" t="s">
        <v>104</v>
      </c>
      <c r="B116" t="s">
        <v>238</v>
      </c>
      <c r="C116">
        <v>9</v>
      </c>
      <c r="D116">
        <v>3000</v>
      </c>
    </row>
    <row r="117" spans="1:4" x14ac:dyDescent="0.25">
      <c r="A117" t="s">
        <v>104</v>
      </c>
      <c r="B117" t="s">
        <v>245</v>
      </c>
      <c r="C117">
        <v>9</v>
      </c>
      <c r="D117">
        <v>20</v>
      </c>
    </row>
    <row r="118" spans="1:4" x14ac:dyDescent="0.25">
      <c r="A118" t="s">
        <v>104</v>
      </c>
      <c r="B118" t="s">
        <v>247</v>
      </c>
      <c r="C118">
        <v>9</v>
      </c>
      <c r="D118">
        <v>3000</v>
      </c>
    </row>
    <row r="119" spans="1:4" x14ac:dyDescent="0.25">
      <c r="A119" t="s">
        <v>106</v>
      </c>
      <c r="B119" t="s">
        <v>164</v>
      </c>
      <c r="C119">
        <v>10</v>
      </c>
      <c r="D119">
        <v>0</v>
      </c>
    </row>
    <row r="120" spans="1:4" x14ac:dyDescent="0.25">
      <c r="A120" t="s">
        <v>106</v>
      </c>
      <c r="B120" t="s">
        <v>164</v>
      </c>
      <c r="C120">
        <v>9</v>
      </c>
      <c r="D120">
        <v>36</v>
      </c>
    </row>
    <row r="121" spans="1:4" x14ac:dyDescent="0.25">
      <c r="A121" t="s">
        <v>108</v>
      </c>
      <c r="B121" t="s">
        <v>164</v>
      </c>
      <c r="C121">
        <v>10</v>
      </c>
      <c r="D121">
        <v>60</v>
      </c>
    </row>
    <row r="122" spans="1:4" x14ac:dyDescent="0.25">
      <c r="A122" t="s">
        <v>108</v>
      </c>
      <c r="B122" t="s">
        <v>250</v>
      </c>
      <c r="C122">
        <v>10</v>
      </c>
      <c r="D122">
        <v>4</v>
      </c>
    </row>
    <row r="123" spans="1:4" x14ac:dyDescent="0.25">
      <c r="A123" t="s">
        <v>309</v>
      </c>
      <c r="B123" t="s">
        <v>188</v>
      </c>
      <c r="C123">
        <v>10</v>
      </c>
      <c r="D123">
        <v>1</v>
      </c>
    </row>
    <row r="124" spans="1:4" x14ac:dyDescent="0.25">
      <c r="A124" t="s">
        <v>309</v>
      </c>
      <c r="B124" t="s">
        <v>190</v>
      </c>
      <c r="C124">
        <v>10</v>
      </c>
      <c r="D124">
        <v>5</v>
      </c>
    </row>
    <row r="125" spans="1:4" x14ac:dyDescent="0.25">
      <c r="A125" t="s">
        <v>309</v>
      </c>
      <c r="B125" t="s">
        <v>217</v>
      </c>
      <c r="C125">
        <v>10</v>
      </c>
      <c r="D125">
        <v>5</v>
      </c>
    </row>
    <row r="126" spans="1:4" x14ac:dyDescent="0.25">
      <c r="A126" t="s">
        <v>309</v>
      </c>
      <c r="B126" t="s">
        <v>263</v>
      </c>
      <c r="C126">
        <v>10</v>
      </c>
      <c r="D126">
        <v>2</v>
      </c>
    </row>
    <row r="127" spans="1:4" x14ac:dyDescent="0.25">
      <c r="A127" t="s">
        <v>310</v>
      </c>
      <c r="B127" t="s">
        <v>164</v>
      </c>
      <c r="C127">
        <v>10</v>
      </c>
      <c r="D127">
        <v>100</v>
      </c>
    </row>
    <row r="128" spans="1:4" x14ac:dyDescent="0.25">
      <c r="A128" t="s">
        <v>310</v>
      </c>
      <c r="B128" t="s">
        <v>169</v>
      </c>
      <c r="C128">
        <v>10</v>
      </c>
      <c r="D128">
        <v>8</v>
      </c>
    </row>
    <row r="129" spans="1:4" x14ac:dyDescent="0.25">
      <c r="A129" t="s">
        <v>310</v>
      </c>
      <c r="B129" t="s">
        <v>171</v>
      </c>
      <c r="C129">
        <v>10</v>
      </c>
      <c r="D129">
        <v>20</v>
      </c>
    </row>
    <row r="130" spans="1:4" x14ac:dyDescent="0.25">
      <c r="A130" t="s">
        <v>310</v>
      </c>
      <c r="B130" t="s">
        <v>854</v>
      </c>
      <c r="C130">
        <v>10</v>
      </c>
      <c r="D130">
        <v>8</v>
      </c>
    </row>
    <row r="131" spans="1:4" x14ac:dyDescent="0.25">
      <c r="A131" t="s">
        <v>310</v>
      </c>
      <c r="B131" t="s">
        <v>179</v>
      </c>
      <c r="C131">
        <v>10</v>
      </c>
      <c r="D131">
        <v>6</v>
      </c>
    </row>
    <row r="132" spans="1:4" x14ac:dyDescent="0.25">
      <c r="A132" t="s">
        <v>310</v>
      </c>
      <c r="B132" t="s">
        <v>238</v>
      </c>
      <c r="C132">
        <v>10</v>
      </c>
      <c r="D132">
        <v>24</v>
      </c>
    </row>
    <row r="133" spans="1:4" x14ac:dyDescent="0.25">
      <c r="A133" t="s">
        <v>310</v>
      </c>
      <c r="B133" t="s">
        <v>243</v>
      </c>
      <c r="C133">
        <v>10</v>
      </c>
      <c r="D133">
        <v>15</v>
      </c>
    </row>
    <row r="134" spans="1:4" x14ac:dyDescent="0.25">
      <c r="A134" t="s">
        <v>310</v>
      </c>
      <c r="B134" t="s">
        <v>245</v>
      </c>
      <c r="C134">
        <v>10</v>
      </c>
      <c r="D134">
        <v>4</v>
      </c>
    </row>
    <row r="135" spans="1:4" x14ac:dyDescent="0.25">
      <c r="A135" t="s">
        <v>310</v>
      </c>
      <c r="B135" t="s">
        <v>254</v>
      </c>
      <c r="C135">
        <v>10</v>
      </c>
      <c r="D135">
        <v>9</v>
      </c>
    </row>
    <row r="136" spans="1:4" x14ac:dyDescent="0.25">
      <c r="A136" t="s">
        <v>310</v>
      </c>
      <c r="B136" t="s">
        <v>164</v>
      </c>
      <c r="C136">
        <v>10</v>
      </c>
      <c r="D136">
        <v>40</v>
      </c>
    </row>
    <row r="137" spans="1:4" x14ac:dyDescent="0.25">
      <c r="A137" t="s">
        <v>310</v>
      </c>
      <c r="B137" t="s">
        <v>171</v>
      </c>
      <c r="C137">
        <v>10</v>
      </c>
      <c r="D137">
        <v>20</v>
      </c>
    </row>
    <row r="138" spans="1:4" x14ac:dyDescent="0.25">
      <c r="A138" t="s">
        <v>310</v>
      </c>
      <c r="B138" t="s">
        <v>174</v>
      </c>
      <c r="C138">
        <v>10</v>
      </c>
      <c r="D138">
        <v>8</v>
      </c>
    </row>
    <row r="139" spans="1:4" x14ac:dyDescent="0.25">
      <c r="A139" t="s">
        <v>310</v>
      </c>
      <c r="B139" t="s">
        <v>179</v>
      </c>
      <c r="C139">
        <v>10</v>
      </c>
      <c r="D139">
        <v>6</v>
      </c>
    </row>
    <row r="140" spans="1:4" x14ac:dyDescent="0.25">
      <c r="A140" t="s">
        <v>310</v>
      </c>
      <c r="B140" t="s">
        <v>238</v>
      </c>
      <c r="C140">
        <v>10</v>
      </c>
      <c r="D140">
        <v>24</v>
      </c>
    </row>
    <row r="141" spans="1:4" x14ac:dyDescent="0.25">
      <c r="A141" t="s">
        <v>310</v>
      </c>
      <c r="B141" t="s">
        <v>243</v>
      </c>
      <c r="C141">
        <v>10</v>
      </c>
      <c r="D141">
        <v>15</v>
      </c>
    </row>
    <row r="142" spans="1:4" x14ac:dyDescent="0.25">
      <c r="A142" t="s">
        <v>310</v>
      </c>
      <c r="B142" t="s">
        <v>245</v>
      </c>
      <c r="C142">
        <v>10</v>
      </c>
      <c r="D142">
        <v>4</v>
      </c>
    </row>
    <row r="143" spans="1:4" x14ac:dyDescent="0.25">
      <c r="A143" t="s">
        <v>310</v>
      </c>
      <c r="B143" t="s">
        <v>254</v>
      </c>
      <c r="C143">
        <v>10</v>
      </c>
      <c r="D143">
        <v>9</v>
      </c>
    </row>
    <row r="144" spans="1:4" x14ac:dyDescent="0.25">
      <c r="A144" t="s">
        <v>311</v>
      </c>
      <c r="B144" t="s">
        <v>164</v>
      </c>
      <c r="C144">
        <v>10</v>
      </c>
      <c r="D144">
        <v>1</v>
      </c>
    </row>
    <row r="145" spans="1:4" x14ac:dyDescent="0.25">
      <c r="A145" t="s">
        <v>311</v>
      </c>
      <c r="B145" t="s">
        <v>169</v>
      </c>
      <c r="C145">
        <v>10</v>
      </c>
      <c r="D145">
        <v>1</v>
      </c>
    </row>
    <row r="146" spans="1:4" x14ac:dyDescent="0.25">
      <c r="A146" t="s">
        <v>311</v>
      </c>
      <c r="B146" t="s">
        <v>223</v>
      </c>
      <c r="C146">
        <v>10</v>
      </c>
      <c r="D146">
        <v>1</v>
      </c>
    </row>
    <row r="147" spans="1:4" x14ac:dyDescent="0.25">
      <c r="A147" t="s">
        <v>311</v>
      </c>
      <c r="B147" t="s">
        <v>245</v>
      </c>
      <c r="C147">
        <v>10</v>
      </c>
      <c r="D147">
        <v>0</v>
      </c>
    </row>
    <row r="148" spans="1:4" x14ac:dyDescent="0.25">
      <c r="A148" t="s">
        <v>311</v>
      </c>
      <c r="B148" t="s">
        <v>164</v>
      </c>
      <c r="C148">
        <v>10</v>
      </c>
      <c r="D148">
        <v>1</v>
      </c>
    </row>
    <row r="149" spans="1:4" x14ac:dyDescent="0.25">
      <c r="A149" t="s">
        <v>311</v>
      </c>
      <c r="B149" t="s">
        <v>169</v>
      </c>
      <c r="C149">
        <v>10</v>
      </c>
      <c r="D149">
        <v>1</v>
      </c>
    </row>
    <row r="150" spans="1:4" x14ac:dyDescent="0.25">
      <c r="A150" t="s">
        <v>312</v>
      </c>
      <c r="B150" t="s">
        <v>164</v>
      </c>
      <c r="C150">
        <v>10</v>
      </c>
      <c r="D150">
        <v>6</v>
      </c>
    </row>
    <row r="151" spans="1:4" x14ac:dyDescent="0.25">
      <c r="A151" t="s">
        <v>312</v>
      </c>
      <c r="B151" t="s">
        <v>169</v>
      </c>
      <c r="C151">
        <v>10</v>
      </c>
      <c r="D151">
        <v>1</v>
      </c>
    </row>
    <row r="152" spans="1:4" x14ac:dyDescent="0.25">
      <c r="A152" t="s">
        <v>312</v>
      </c>
      <c r="B152" t="s">
        <v>171</v>
      </c>
      <c r="C152">
        <v>10</v>
      </c>
      <c r="D152">
        <v>5</v>
      </c>
    </row>
    <row r="153" spans="1:4" x14ac:dyDescent="0.25">
      <c r="A153" t="s">
        <v>312</v>
      </c>
      <c r="B153" t="s">
        <v>179</v>
      </c>
      <c r="C153">
        <v>10</v>
      </c>
      <c r="D153">
        <v>1</v>
      </c>
    </row>
    <row r="154" spans="1:4" x14ac:dyDescent="0.25">
      <c r="A154" t="s">
        <v>312</v>
      </c>
      <c r="B154" t="s">
        <v>188</v>
      </c>
      <c r="C154">
        <v>10</v>
      </c>
      <c r="D154">
        <v>1</v>
      </c>
    </row>
    <row r="155" spans="1:4" x14ac:dyDescent="0.25">
      <c r="A155" t="s">
        <v>312</v>
      </c>
      <c r="B155" t="s">
        <v>221</v>
      </c>
      <c r="C155">
        <v>10</v>
      </c>
      <c r="D155">
        <v>2</v>
      </c>
    </row>
    <row r="156" spans="1:4" x14ac:dyDescent="0.25">
      <c r="A156" t="s">
        <v>312</v>
      </c>
      <c r="B156" t="s">
        <v>238</v>
      </c>
      <c r="C156">
        <v>10</v>
      </c>
      <c r="D156">
        <v>540000</v>
      </c>
    </row>
    <row r="157" spans="1:4" x14ac:dyDescent="0.25">
      <c r="A157" t="s">
        <v>312</v>
      </c>
      <c r="B157" t="s">
        <v>245</v>
      </c>
      <c r="C157">
        <v>10</v>
      </c>
      <c r="D157">
        <v>3</v>
      </c>
    </row>
    <row r="158" spans="1:4" x14ac:dyDescent="0.25">
      <c r="A158" t="s">
        <v>312</v>
      </c>
      <c r="B158" t="s">
        <v>169</v>
      </c>
      <c r="C158">
        <v>10</v>
      </c>
      <c r="D158">
        <v>2</v>
      </c>
    </row>
    <row r="159" spans="1:4" x14ac:dyDescent="0.25">
      <c r="A159" t="s">
        <v>312</v>
      </c>
      <c r="B159" t="s">
        <v>171</v>
      </c>
      <c r="C159">
        <v>10</v>
      </c>
      <c r="D159">
        <v>6</v>
      </c>
    </row>
    <row r="160" spans="1:4" x14ac:dyDescent="0.25">
      <c r="A160" t="s">
        <v>312</v>
      </c>
      <c r="B160" t="s">
        <v>179</v>
      </c>
      <c r="C160">
        <v>10</v>
      </c>
      <c r="D160">
        <v>3</v>
      </c>
    </row>
    <row r="161" spans="1:4" x14ac:dyDescent="0.25">
      <c r="A161" t="s">
        <v>312</v>
      </c>
      <c r="B161" t="s">
        <v>221</v>
      </c>
      <c r="C161">
        <v>10</v>
      </c>
      <c r="D161">
        <v>4</v>
      </c>
    </row>
    <row r="162" spans="1:4" x14ac:dyDescent="0.25">
      <c r="A162" t="s">
        <v>312</v>
      </c>
      <c r="B162" t="s">
        <v>238</v>
      </c>
      <c r="C162">
        <v>10</v>
      </c>
      <c r="D162">
        <v>250000</v>
      </c>
    </row>
    <row r="163" spans="1:4" x14ac:dyDescent="0.25">
      <c r="A163" t="s">
        <v>312</v>
      </c>
      <c r="B163" t="s">
        <v>245</v>
      </c>
      <c r="C163">
        <v>10</v>
      </c>
      <c r="D163">
        <v>3</v>
      </c>
    </row>
    <row r="164" spans="1:4" x14ac:dyDescent="0.25">
      <c r="A164" t="s">
        <v>313</v>
      </c>
      <c r="B164" t="s">
        <v>171</v>
      </c>
      <c r="C164">
        <v>10</v>
      </c>
      <c r="D164">
        <v>30</v>
      </c>
    </row>
    <row r="165" spans="1:4" x14ac:dyDescent="0.25">
      <c r="A165" t="s">
        <v>313</v>
      </c>
      <c r="B165" t="s">
        <v>219</v>
      </c>
      <c r="C165">
        <v>10</v>
      </c>
      <c r="D165">
        <v>2</v>
      </c>
    </row>
    <row r="166" spans="1:4" x14ac:dyDescent="0.25">
      <c r="A166" t="s">
        <v>313</v>
      </c>
      <c r="B166" t="s">
        <v>238</v>
      </c>
      <c r="C166">
        <v>10</v>
      </c>
      <c r="D166">
        <v>5000</v>
      </c>
    </row>
    <row r="167" spans="1:4" x14ac:dyDescent="0.25">
      <c r="A167" t="s">
        <v>313</v>
      </c>
      <c r="B167" t="s">
        <v>261</v>
      </c>
      <c r="C167">
        <v>10</v>
      </c>
      <c r="D167">
        <v>1</v>
      </c>
    </row>
    <row r="168" spans="1:4" x14ac:dyDescent="0.25">
      <c r="A168" t="s">
        <v>313</v>
      </c>
      <c r="B168" t="s">
        <v>294</v>
      </c>
      <c r="C168">
        <v>10</v>
      </c>
      <c r="D168">
        <v>1</v>
      </c>
    </row>
    <row r="169" spans="1:4" x14ac:dyDescent="0.25">
      <c r="A169" t="s">
        <v>313</v>
      </c>
      <c r="B169" t="s">
        <v>238</v>
      </c>
      <c r="C169">
        <v>10</v>
      </c>
      <c r="D169">
        <v>5000</v>
      </c>
    </row>
    <row r="170" spans="1:4" x14ac:dyDescent="0.25">
      <c r="A170" t="s">
        <v>110</v>
      </c>
      <c r="B170" t="s">
        <v>171</v>
      </c>
      <c r="C170">
        <v>10</v>
      </c>
      <c r="D170">
        <v>30</v>
      </c>
    </row>
    <row r="171" spans="1:4" x14ac:dyDescent="0.25">
      <c r="A171" t="s">
        <v>314</v>
      </c>
      <c r="B171" t="s">
        <v>164</v>
      </c>
      <c r="C171">
        <v>10</v>
      </c>
      <c r="D171">
        <v>10</v>
      </c>
    </row>
    <row r="172" spans="1:4" x14ac:dyDescent="0.25">
      <c r="A172" t="s">
        <v>314</v>
      </c>
      <c r="B172" t="s">
        <v>169</v>
      </c>
      <c r="C172">
        <v>10</v>
      </c>
      <c r="D172">
        <v>1</v>
      </c>
    </row>
    <row r="173" spans="1:4" x14ac:dyDescent="0.25">
      <c r="A173" t="s">
        <v>314</v>
      </c>
      <c r="B173" t="s">
        <v>188</v>
      </c>
      <c r="C173">
        <v>10</v>
      </c>
      <c r="D173">
        <v>2</v>
      </c>
    </row>
    <row r="174" spans="1:4" x14ac:dyDescent="0.25">
      <c r="A174" t="s">
        <v>314</v>
      </c>
      <c r="B174" t="s">
        <v>215</v>
      </c>
      <c r="C174">
        <v>10</v>
      </c>
      <c r="D174">
        <v>0</v>
      </c>
    </row>
    <row r="175" spans="1:4" x14ac:dyDescent="0.25">
      <c r="A175" t="s">
        <v>315</v>
      </c>
      <c r="B175" t="s">
        <v>230</v>
      </c>
      <c r="C175">
        <v>10</v>
      </c>
      <c r="D175">
        <v>0</v>
      </c>
    </row>
    <row r="176" spans="1:4" x14ac:dyDescent="0.25">
      <c r="A176" t="s">
        <v>315</v>
      </c>
      <c r="B176" t="s">
        <v>232</v>
      </c>
      <c r="C176">
        <v>10</v>
      </c>
      <c r="D176">
        <v>2</v>
      </c>
    </row>
    <row r="177" spans="1:4" x14ac:dyDescent="0.25">
      <c r="A177" t="s">
        <v>315</v>
      </c>
      <c r="B177" t="s">
        <v>247</v>
      </c>
      <c r="C177">
        <v>10</v>
      </c>
      <c r="D177">
        <v>0</v>
      </c>
    </row>
    <row r="178" spans="1:4" x14ac:dyDescent="0.25">
      <c r="A178" t="s">
        <v>315</v>
      </c>
      <c r="B178" t="s">
        <v>250</v>
      </c>
      <c r="C178">
        <v>10</v>
      </c>
      <c r="D178">
        <v>0</v>
      </c>
    </row>
    <row r="179" spans="1:4" x14ac:dyDescent="0.25">
      <c r="A179" t="s">
        <v>315</v>
      </c>
      <c r="B179" t="s">
        <v>250</v>
      </c>
      <c r="C179">
        <v>10</v>
      </c>
      <c r="D179">
        <v>2</v>
      </c>
    </row>
    <row r="180" spans="1:4" x14ac:dyDescent="0.25">
      <c r="A180" t="s">
        <v>315</v>
      </c>
      <c r="B180" t="s">
        <v>254</v>
      </c>
      <c r="C180">
        <v>10</v>
      </c>
      <c r="D180">
        <v>1</v>
      </c>
    </row>
    <row r="181" spans="1:4" x14ac:dyDescent="0.25">
      <c r="A181" t="s">
        <v>112</v>
      </c>
      <c r="B181" t="s">
        <v>164</v>
      </c>
      <c r="C181">
        <v>10</v>
      </c>
      <c r="D181">
        <v>0</v>
      </c>
    </row>
    <row r="182" spans="1:4" x14ac:dyDescent="0.25">
      <c r="A182" t="s">
        <v>112</v>
      </c>
      <c r="B182" t="s">
        <v>179</v>
      </c>
      <c r="C182">
        <v>10</v>
      </c>
      <c r="D182">
        <v>5</v>
      </c>
    </row>
    <row r="183" spans="1:4" x14ac:dyDescent="0.25">
      <c r="A183" t="s">
        <v>112</v>
      </c>
      <c r="B183" t="s">
        <v>197</v>
      </c>
      <c r="C183">
        <v>10</v>
      </c>
      <c r="D183">
        <v>0</v>
      </c>
    </row>
    <row r="184" spans="1:4" x14ac:dyDescent="0.25">
      <c r="A184" t="s">
        <v>112</v>
      </c>
      <c r="B184" t="s">
        <v>223</v>
      </c>
      <c r="C184">
        <v>10</v>
      </c>
      <c r="D184">
        <v>4</v>
      </c>
    </row>
    <row r="185" spans="1:4" x14ac:dyDescent="0.25">
      <c r="A185" t="s">
        <v>112</v>
      </c>
      <c r="B185" t="s">
        <v>238</v>
      </c>
      <c r="C185">
        <v>10</v>
      </c>
      <c r="D185">
        <v>50000</v>
      </c>
    </row>
    <row r="186" spans="1:4" x14ac:dyDescent="0.25">
      <c r="A186" t="s">
        <v>112</v>
      </c>
      <c r="B186" t="s">
        <v>240</v>
      </c>
      <c r="C186">
        <v>10</v>
      </c>
      <c r="D186">
        <v>300</v>
      </c>
    </row>
    <row r="187" spans="1:4" x14ac:dyDescent="0.25">
      <c r="A187" t="s">
        <v>112</v>
      </c>
      <c r="B187" t="s">
        <v>245</v>
      </c>
      <c r="C187">
        <v>10</v>
      </c>
      <c r="D187">
        <v>10</v>
      </c>
    </row>
    <row r="188" spans="1:4" x14ac:dyDescent="0.25">
      <c r="A188" t="s">
        <v>112</v>
      </c>
      <c r="B188" t="s">
        <v>164</v>
      </c>
      <c r="C188">
        <v>10</v>
      </c>
      <c r="D188">
        <v>200</v>
      </c>
    </row>
    <row r="189" spans="1:4" x14ac:dyDescent="0.25">
      <c r="A189" t="s">
        <v>112</v>
      </c>
      <c r="B189" t="s">
        <v>179</v>
      </c>
      <c r="C189">
        <v>10</v>
      </c>
      <c r="D189">
        <v>5</v>
      </c>
    </row>
    <row r="190" spans="1:4" x14ac:dyDescent="0.25">
      <c r="A190" t="s">
        <v>112</v>
      </c>
      <c r="B190" t="s">
        <v>197</v>
      </c>
      <c r="C190">
        <v>10</v>
      </c>
      <c r="D190">
        <v>30</v>
      </c>
    </row>
    <row r="191" spans="1:4" x14ac:dyDescent="0.25">
      <c r="A191" t="s">
        <v>112</v>
      </c>
      <c r="B191" t="s">
        <v>223</v>
      </c>
      <c r="C191">
        <v>10</v>
      </c>
      <c r="D191">
        <v>4</v>
      </c>
    </row>
    <row r="192" spans="1:4" x14ac:dyDescent="0.25">
      <c r="A192" t="s">
        <v>112</v>
      </c>
      <c r="B192" t="s">
        <v>238</v>
      </c>
      <c r="C192">
        <v>10</v>
      </c>
      <c r="D192">
        <v>50000</v>
      </c>
    </row>
    <row r="193" spans="1:4" x14ac:dyDescent="0.25">
      <c r="A193" t="s">
        <v>112</v>
      </c>
      <c r="B193" t="s">
        <v>240</v>
      </c>
      <c r="C193">
        <v>10</v>
      </c>
      <c r="D193">
        <v>1000</v>
      </c>
    </row>
    <row r="194" spans="1:4" x14ac:dyDescent="0.25">
      <c r="A194" t="s">
        <v>112</v>
      </c>
      <c r="B194" t="s">
        <v>245</v>
      </c>
      <c r="C194">
        <v>10</v>
      </c>
      <c r="D194">
        <v>10</v>
      </c>
    </row>
    <row r="195" spans="1:4" x14ac:dyDescent="0.25">
      <c r="A195" t="s">
        <v>116</v>
      </c>
      <c r="B195" t="s">
        <v>217</v>
      </c>
      <c r="C195">
        <v>10</v>
      </c>
      <c r="D195">
        <v>1</v>
      </c>
    </row>
    <row r="196" spans="1:4" x14ac:dyDescent="0.25">
      <c r="A196" t="s">
        <v>116</v>
      </c>
      <c r="B196" t="s">
        <v>219</v>
      </c>
      <c r="C196">
        <v>10</v>
      </c>
      <c r="D196">
        <v>1</v>
      </c>
    </row>
    <row r="197" spans="1:4" x14ac:dyDescent="0.25">
      <c r="A197" t="s">
        <v>116</v>
      </c>
      <c r="B197" t="s">
        <v>223</v>
      </c>
      <c r="C197">
        <v>10</v>
      </c>
      <c r="D197">
        <v>1</v>
      </c>
    </row>
    <row r="198" spans="1:4" x14ac:dyDescent="0.25">
      <c r="A198" t="s">
        <v>116</v>
      </c>
      <c r="B198" t="s">
        <v>232</v>
      </c>
      <c r="C198">
        <v>10</v>
      </c>
      <c r="D198">
        <v>4</v>
      </c>
    </row>
    <row r="199" spans="1:4" x14ac:dyDescent="0.25">
      <c r="A199" t="s">
        <v>116</v>
      </c>
      <c r="B199" t="s">
        <v>234</v>
      </c>
      <c r="C199">
        <v>10</v>
      </c>
      <c r="D199">
        <v>2</v>
      </c>
    </row>
    <row r="200" spans="1:4" x14ac:dyDescent="0.25">
      <c r="A200" t="s">
        <v>116</v>
      </c>
      <c r="B200" t="s">
        <v>238</v>
      </c>
      <c r="C200">
        <v>10</v>
      </c>
      <c r="D200">
        <v>80000</v>
      </c>
    </row>
    <row r="201" spans="1:4" x14ac:dyDescent="0.25">
      <c r="A201" t="s">
        <v>116</v>
      </c>
      <c r="B201" t="s">
        <v>245</v>
      </c>
      <c r="C201">
        <v>10</v>
      </c>
      <c r="D201">
        <v>9</v>
      </c>
    </row>
    <row r="202" spans="1:4" x14ac:dyDescent="0.25">
      <c r="A202" t="s">
        <v>116</v>
      </c>
      <c r="B202" t="s">
        <v>279</v>
      </c>
      <c r="C202">
        <v>10</v>
      </c>
      <c r="D202">
        <v>1.62</v>
      </c>
    </row>
    <row r="203" spans="1:4" x14ac:dyDescent="0.25">
      <c r="A203" t="s">
        <v>316</v>
      </c>
      <c r="B203" t="s">
        <v>164</v>
      </c>
      <c r="C203">
        <v>10</v>
      </c>
      <c r="D203">
        <v>0</v>
      </c>
    </row>
    <row r="204" spans="1:4" x14ac:dyDescent="0.25">
      <c r="A204" t="s">
        <v>316</v>
      </c>
      <c r="B204" t="s">
        <v>188</v>
      </c>
      <c r="C204">
        <v>10</v>
      </c>
      <c r="D204">
        <v>0</v>
      </c>
    </row>
    <row r="205" spans="1:4" x14ac:dyDescent="0.25">
      <c r="A205" t="s">
        <v>316</v>
      </c>
      <c r="B205" t="s">
        <v>169</v>
      </c>
      <c r="C205">
        <v>10</v>
      </c>
      <c r="D205">
        <v>9</v>
      </c>
    </row>
    <row r="206" spans="1:4" x14ac:dyDescent="0.25">
      <c r="A206" t="s">
        <v>316</v>
      </c>
      <c r="B206" t="s">
        <v>243</v>
      </c>
      <c r="C206">
        <v>10</v>
      </c>
      <c r="D206">
        <v>24</v>
      </c>
    </row>
    <row r="207" spans="1:4" x14ac:dyDescent="0.25">
      <c r="A207" t="s">
        <v>317</v>
      </c>
      <c r="B207" t="s">
        <v>164</v>
      </c>
      <c r="C207">
        <v>10</v>
      </c>
      <c r="D207">
        <v>0</v>
      </c>
    </row>
    <row r="208" spans="1:4" x14ac:dyDescent="0.25">
      <c r="A208" t="s">
        <v>317</v>
      </c>
      <c r="B208" t="s">
        <v>167</v>
      </c>
      <c r="C208">
        <v>10</v>
      </c>
      <c r="D208">
        <v>0</v>
      </c>
    </row>
    <row r="209" spans="1:4" x14ac:dyDescent="0.25">
      <c r="A209" t="s">
        <v>317</v>
      </c>
      <c r="B209" t="s">
        <v>169</v>
      </c>
      <c r="C209">
        <v>10</v>
      </c>
      <c r="D209">
        <v>0</v>
      </c>
    </row>
    <row r="210" spans="1:4" x14ac:dyDescent="0.25">
      <c r="A210" t="s">
        <v>317</v>
      </c>
      <c r="B210" t="s">
        <v>171</v>
      </c>
      <c r="C210">
        <v>10</v>
      </c>
      <c r="D210">
        <v>0</v>
      </c>
    </row>
    <row r="211" spans="1:4" x14ac:dyDescent="0.25">
      <c r="A211" t="s">
        <v>317</v>
      </c>
      <c r="B211" t="s">
        <v>188</v>
      </c>
      <c r="C211">
        <v>10</v>
      </c>
      <c r="D211">
        <v>0</v>
      </c>
    </row>
    <row r="212" spans="1:4" x14ac:dyDescent="0.25">
      <c r="A212" t="s">
        <v>317</v>
      </c>
      <c r="B212" t="s">
        <v>190</v>
      </c>
      <c r="C212">
        <v>10</v>
      </c>
      <c r="D212">
        <v>0</v>
      </c>
    </row>
    <row r="213" spans="1:4" x14ac:dyDescent="0.25">
      <c r="A213" t="s">
        <v>317</v>
      </c>
      <c r="B213" t="s">
        <v>192</v>
      </c>
      <c r="C213">
        <v>10</v>
      </c>
      <c r="D213">
        <v>0</v>
      </c>
    </row>
    <row r="214" spans="1:4" x14ac:dyDescent="0.25">
      <c r="A214" t="s">
        <v>317</v>
      </c>
      <c r="B214" t="s">
        <v>215</v>
      </c>
      <c r="C214">
        <v>10</v>
      </c>
      <c r="D214">
        <v>9</v>
      </c>
    </row>
    <row r="215" spans="1:4" x14ac:dyDescent="0.25">
      <c r="A215" t="s">
        <v>317</v>
      </c>
      <c r="B215" t="s">
        <v>217</v>
      </c>
      <c r="C215">
        <v>10</v>
      </c>
      <c r="D215">
        <v>13</v>
      </c>
    </row>
    <row r="216" spans="1:4" x14ac:dyDescent="0.25">
      <c r="A216" t="s">
        <v>317</v>
      </c>
      <c r="B216" t="s">
        <v>219</v>
      </c>
      <c r="C216">
        <v>10</v>
      </c>
      <c r="D216">
        <v>1</v>
      </c>
    </row>
    <row r="217" spans="1:4" x14ac:dyDescent="0.25">
      <c r="A217" t="s">
        <v>317</v>
      </c>
      <c r="B217" t="s">
        <v>221</v>
      </c>
      <c r="C217">
        <v>10</v>
      </c>
      <c r="D217">
        <v>0</v>
      </c>
    </row>
    <row r="218" spans="1:4" x14ac:dyDescent="0.25">
      <c r="A218" t="s">
        <v>317</v>
      </c>
      <c r="B218" t="s">
        <v>257</v>
      </c>
      <c r="C218">
        <v>10</v>
      </c>
      <c r="D218">
        <v>0</v>
      </c>
    </row>
    <row r="219" spans="1:4" x14ac:dyDescent="0.25">
      <c r="A219" t="s">
        <v>317</v>
      </c>
      <c r="B219" t="s">
        <v>259</v>
      </c>
      <c r="C219">
        <v>10</v>
      </c>
      <c r="D219">
        <v>0</v>
      </c>
    </row>
    <row r="220" spans="1:4" x14ac:dyDescent="0.25">
      <c r="A220" t="s">
        <v>317</v>
      </c>
      <c r="B220" t="s">
        <v>261</v>
      </c>
      <c r="C220">
        <v>10</v>
      </c>
      <c r="D220">
        <v>0</v>
      </c>
    </row>
    <row r="221" spans="1:4" x14ac:dyDescent="0.25">
      <c r="A221" t="s">
        <v>317</v>
      </c>
      <c r="B221" t="s">
        <v>263</v>
      </c>
      <c r="C221">
        <v>10</v>
      </c>
      <c r="D221">
        <v>0</v>
      </c>
    </row>
    <row r="222" spans="1:4" x14ac:dyDescent="0.25">
      <c r="A222" t="s">
        <v>318</v>
      </c>
      <c r="B222" t="s">
        <v>167</v>
      </c>
      <c r="C222">
        <v>10</v>
      </c>
      <c r="D222">
        <v>2</v>
      </c>
    </row>
    <row r="223" spans="1:4" x14ac:dyDescent="0.25">
      <c r="A223" t="s">
        <v>318</v>
      </c>
      <c r="B223" t="s">
        <v>169</v>
      </c>
      <c r="C223">
        <v>10</v>
      </c>
      <c r="D223">
        <v>10</v>
      </c>
    </row>
    <row r="224" spans="1:4" x14ac:dyDescent="0.25">
      <c r="A224" t="s">
        <v>318</v>
      </c>
      <c r="B224" t="s">
        <v>188</v>
      </c>
      <c r="C224">
        <v>10</v>
      </c>
      <c r="D224">
        <v>1</v>
      </c>
    </row>
    <row r="225" spans="1:4" x14ac:dyDescent="0.25">
      <c r="A225" t="s">
        <v>318</v>
      </c>
      <c r="B225" t="s">
        <v>195</v>
      </c>
      <c r="C225">
        <v>10</v>
      </c>
      <c r="D225">
        <v>1</v>
      </c>
    </row>
    <row r="226" spans="1:4" x14ac:dyDescent="0.25">
      <c r="A226" t="s">
        <v>318</v>
      </c>
      <c r="B226" t="s">
        <v>223</v>
      </c>
      <c r="C226">
        <v>10</v>
      </c>
      <c r="D226">
        <v>5</v>
      </c>
    </row>
    <row r="227" spans="1:4" x14ac:dyDescent="0.25">
      <c r="A227" t="s">
        <v>318</v>
      </c>
      <c r="B227" t="s">
        <v>261</v>
      </c>
      <c r="C227">
        <v>10</v>
      </c>
      <c r="D227">
        <v>2</v>
      </c>
    </row>
    <row r="228" spans="1:4" x14ac:dyDescent="0.25">
      <c r="A228" t="s">
        <v>318</v>
      </c>
      <c r="B228" t="s">
        <v>190</v>
      </c>
      <c r="C228">
        <v>10</v>
      </c>
      <c r="D228">
        <v>1</v>
      </c>
    </row>
    <row r="229" spans="1:4" x14ac:dyDescent="0.25">
      <c r="A229" t="s">
        <v>318</v>
      </c>
      <c r="B229" t="s">
        <v>215</v>
      </c>
      <c r="C229">
        <v>10</v>
      </c>
      <c r="D229">
        <v>1</v>
      </c>
    </row>
    <row r="230" spans="1:4" x14ac:dyDescent="0.25">
      <c r="A230" t="s">
        <v>318</v>
      </c>
      <c r="B230" t="s">
        <v>223</v>
      </c>
      <c r="C230">
        <v>10</v>
      </c>
      <c r="D230">
        <v>5</v>
      </c>
    </row>
    <row r="231" spans="1:4" x14ac:dyDescent="0.25">
      <c r="A231" t="s">
        <v>319</v>
      </c>
      <c r="B231" t="s">
        <v>164</v>
      </c>
      <c r="C231">
        <v>10</v>
      </c>
      <c r="D231" t="s">
        <v>855</v>
      </c>
    </row>
    <row r="232" spans="1:4" x14ac:dyDescent="0.25">
      <c r="A232" t="s">
        <v>319</v>
      </c>
      <c r="B232" t="s">
        <v>169</v>
      </c>
      <c r="C232">
        <v>10</v>
      </c>
      <c r="D232">
        <v>1</v>
      </c>
    </row>
    <row r="233" spans="1:4" x14ac:dyDescent="0.25">
      <c r="A233" t="s">
        <v>319</v>
      </c>
      <c r="B233" t="s">
        <v>171</v>
      </c>
      <c r="C233">
        <v>10</v>
      </c>
      <c r="D233">
        <v>2</v>
      </c>
    </row>
    <row r="234" spans="1:4" x14ac:dyDescent="0.25">
      <c r="A234" t="s">
        <v>319</v>
      </c>
      <c r="B234" t="s">
        <v>197</v>
      </c>
      <c r="C234">
        <v>10</v>
      </c>
      <c r="D234">
        <v>34</v>
      </c>
    </row>
    <row r="235" spans="1:4" x14ac:dyDescent="0.25">
      <c r="A235" t="s">
        <v>319</v>
      </c>
      <c r="B235" t="s">
        <v>217</v>
      </c>
      <c r="C235">
        <v>10</v>
      </c>
      <c r="D235">
        <v>20</v>
      </c>
    </row>
    <row r="236" spans="1:4" x14ac:dyDescent="0.25">
      <c r="A236" t="s">
        <v>319</v>
      </c>
      <c r="B236" t="s">
        <v>164</v>
      </c>
      <c r="C236">
        <v>10</v>
      </c>
      <c r="D236">
        <v>6</v>
      </c>
    </row>
    <row r="237" spans="1:4" x14ac:dyDescent="0.25">
      <c r="A237" t="s">
        <v>320</v>
      </c>
      <c r="B237" t="s">
        <v>164</v>
      </c>
      <c r="C237">
        <v>10</v>
      </c>
      <c r="D237">
        <v>2</v>
      </c>
    </row>
    <row r="238" spans="1:4" x14ac:dyDescent="0.25">
      <c r="A238" t="s">
        <v>320</v>
      </c>
      <c r="B238" t="s">
        <v>190</v>
      </c>
      <c r="C238">
        <v>10</v>
      </c>
      <c r="D238">
        <v>1</v>
      </c>
    </row>
    <row r="239" spans="1:4" x14ac:dyDescent="0.25">
      <c r="A239" t="s">
        <v>320</v>
      </c>
      <c r="B239" t="s">
        <v>197</v>
      </c>
      <c r="C239">
        <v>10</v>
      </c>
      <c r="D239">
        <v>40</v>
      </c>
    </row>
    <row r="240" spans="1:4" x14ac:dyDescent="0.25">
      <c r="A240" t="s">
        <v>320</v>
      </c>
      <c r="B240" t="s">
        <v>223</v>
      </c>
      <c r="C240">
        <v>10</v>
      </c>
      <c r="D240">
        <v>2</v>
      </c>
    </row>
    <row r="241" spans="1:4" x14ac:dyDescent="0.25">
      <c r="A241" t="s">
        <v>320</v>
      </c>
      <c r="B241" t="s">
        <v>250</v>
      </c>
      <c r="C241">
        <v>10</v>
      </c>
      <c r="D241">
        <v>1</v>
      </c>
    </row>
    <row r="242" spans="1:4" x14ac:dyDescent="0.25">
      <c r="A242" t="s">
        <v>320</v>
      </c>
      <c r="B242" t="s">
        <v>223</v>
      </c>
      <c r="C242">
        <v>10</v>
      </c>
      <c r="D242">
        <v>2</v>
      </c>
    </row>
    <row r="243" spans="1:4" x14ac:dyDescent="0.25">
      <c r="A243" t="s">
        <v>320</v>
      </c>
      <c r="B243" t="s">
        <v>252</v>
      </c>
      <c r="C243">
        <v>10</v>
      </c>
      <c r="D243">
        <v>1</v>
      </c>
    </row>
    <row r="244" spans="1:4" x14ac:dyDescent="0.25">
      <c r="A244" t="s">
        <v>321</v>
      </c>
      <c r="B244" t="s">
        <v>169</v>
      </c>
      <c r="C244">
        <v>10</v>
      </c>
      <c r="D244">
        <v>2</v>
      </c>
    </row>
    <row r="245" spans="1:4" x14ac:dyDescent="0.25">
      <c r="A245" t="s">
        <v>321</v>
      </c>
      <c r="B245" t="s">
        <v>215</v>
      </c>
      <c r="C245">
        <v>10</v>
      </c>
      <c r="D245">
        <v>2</v>
      </c>
    </row>
    <row r="246" spans="1:4" x14ac:dyDescent="0.25">
      <c r="A246" t="s">
        <v>321</v>
      </c>
      <c r="B246" t="s">
        <v>217</v>
      </c>
      <c r="C246">
        <v>10</v>
      </c>
      <c r="D246">
        <v>1</v>
      </c>
    </row>
    <row r="247" spans="1:4" x14ac:dyDescent="0.25">
      <c r="A247" t="s">
        <v>321</v>
      </c>
      <c r="B247" t="s">
        <v>219</v>
      </c>
      <c r="C247">
        <v>10</v>
      </c>
      <c r="D247">
        <v>1</v>
      </c>
    </row>
    <row r="248" spans="1:4" x14ac:dyDescent="0.25">
      <c r="A248" t="s">
        <v>321</v>
      </c>
      <c r="B248" t="s">
        <v>223</v>
      </c>
      <c r="C248">
        <v>10</v>
      </c>
      <c r="D248">
        <v>1</v>
      </c>
    </row>
    <row r="249" spans="1:4" x14ac:dyDescent="0.25">
      <c r="A249" t="s">
        <v>321</v>
      </c>
      <c r="B249" t="s">
        <v>164</v>
      </c>
      <c r="C249">
        <v>10</v>
      </c>
      <c r="D249">
        <v>2</v>
      </c>
    </row>
    <row r="250" spans="1:4" x14ac:dyDescent="0.25">
      <c r="A250" t="s">
        <v>321</v>
      </c>
      <c r="B250" t="s">
        <v>223</v>
      </c>
      <c r="C250">
        <v>10</v>
      </c>
      <c r="D250">
        <v>1</v>
      </c>
    </row>
    <row r="251" spans="1:4" x14ac:dyDescent="0.25">
      <c r="A251" t="s">
        <v>118</v>
      </c>
      <c r="B251" t="s">
        <v>164</v>
      </c>
      <c r="C251">
        <v>10</v>
      </c>
      <c r="D251">
        <v>60</v>
      </c>
    </row>
    <row r="252" spans="1:4" x14ac:dyDescent="0.25">
      <c r="A252" t="s">
        <v>118</v>
      </c>
      <c r="B252" t="s">
        <v>250</v>
      </c>
      <c r="C252">
        <v>10</v>
      </c>
      <c r="D252">
        <v>4</v>
      </c>
    </row>
    <row r="253" spans="1:4" x14ac:dyDescent="0.25">
      <c r="A253" t="s">
        <v>120</v>
      </c>
      <c r="B253" t="s">
        <v>164</v>
      </c>
      <c r="C253">
        <v>10</v>
      </c>
      <c r="D253">
        <v>60</v>
      </c>
    </row>
    <row r="254" spans="1:4" x14ac:dyDescent="0.25">
      <c r="A254" t="s">
        <v>120</v>
      </c>
      <c r="B254" t="s">
        <v>250</v>
      </c>
      <c r="C254">
        <v>10</v>
      </c>
      <c r="D254">
        <v>4</v>
      </c>
    </row>
    <row r="255" spans="1:4" x14ac:dyDescent="0.25">
      <c r="A255" t="s">
        <v>322</v>
      </c>
      <c r="B255" t="s">
        <v>238</v>
      </c>
      <c r="C255">
        <v>11</v>
      </c>
      <c r="D255">
        <v>0</v>
      </c>
    </row>
    <row r="256" spans="1:4" x14ac:dyDescent="0.25">
      <c r="A256" t="s">
        <v>322</v>
      </c>
      <c r="B256" t="s">
        <v>263</v>
      </c>
      <c r="C256">
        <v>11</v>
      </c>
      <c r="D256">
        <v>0</v>
      </c>
    </row>
    <row r="257" spans="1:4" x14ac:dyDescent="0.25">
      <c r="A257" t="s">
        <v>322</v>
      </c>
      <c r="B257" t="s">
        <v>279</v>
      </c>
      <c r="C257">
        <v>11</v>
      </c>
      <c r="D257">
        <v>0</v>
      </c>
    </row>
    <row r="258" spans="1:4" x14ac:dyDescent="0.25">
      <c r="A258" t="s">
        <v>323</v>
      </c>
      <c r="B258" t="s">
        <v>164</v>
      </c>
      <c r="C258">
        <v>11</v>
      </c>
      <c r="D258">
        <v>3</v>
      </c>
    </row>
    <row r="259" spans="1:4" x14ac:dyDescent="0.25">
      <c r="A259" t="s">
        <v>323</v>
      </c>
      <c r="B259" t="s">
        <v>169</v>
      </c>
      <c r="C259">
        <v>11</v>
      </c>
      <c r="D259">
        <v>1</v>
      </c>
    </row>
    <row r="260" spans="1:4" x14ac:dyDescent="0.25">
      <c r="A260" t="s">
        <v>323</v>
      </c>
      <c r="B260" t="s">
        <v>171</v>
      </c>
      <c r="C260">
        <v>11</v>
      </c>
      <c r="D260">
        <v>3</v>
      </c>
    </row>
    <row r="261" spans="1:4" x14ac:dyDescent="0.25">
      <c r="A261" t="s">
        <v>323</v>
      </c>
      <c r="B261" t="s">
        <v>179</v>
      </c>
      <c r="C261">
        <v>11</v>
      </c>
      <c r="D261">
        <v>3</v>
      </c>
    </row>
    <row r="262" spans="1:4" x14ac:dyDescent="0.25">
      <c r="A262" t="s">
        <v>323</v>
      </c>
      <c r="B262" t="s">
        <v>188</v>
      </c>
      <c r="C262">
        <v>11</v>
      </c>
      <c r="D262">
        <v>3</v>
      </c>
    </row>
    <row r="263" spans="1:4" x14ac:dyDescent="0.25">
      <c r="A263" t="s">
        <v>323</v>
      </c>
      <c r="B263" t="s">
        <v>190</v>
      </c>
      <c r="C263">
        <v>11</v>
      </c>
      <c r="D263">
        <v>3</v>
      </c>
    </row>
    <row r="264" spans="1:4" x14ac:dyDescent="0.25">
      <c r="A264" t="s">
        <v>323</v>
      </c>
      <c r="B264" t="s">
        <v>210</v>
      </c>
      <c r="C264">
        <v>11</v>
      </c>
      <c r="D264">
        <v>0</v>
      </c>
    </row>
    <row r="265" spans="1:4" x14ac:dyDescent="0.25">
      <c r="A265" t="s">
        <v>323</v>
      </c>
      <c r="B265" t="s">
        <v>230</v>
      </c>
      <c r="C265">
        <v>11</v>
      </c>
      <c r="D265">
        <v>0</v>
      </c>
    </row>
    <row r="266" spans="1:4" x14ac:dyDescent="0.25">
      <c r="A266" t="s">
        <v>323</v>
      </c>
      <c r="B266" t="s">
        <v>232</v>
      </c>
      <c r="C266">
        <v>11</v>
      </c>
      <c r="D266">
        <v>4</v>
      </c>
    </row>
    <row r="267" spans="1:4" x14ac:dyDescent="0.25">
      <c r="A267" t="s">
        <v>323</v>
      </c>
      <c r="B267" t="s">
        <v>294</v>
      </c>
      <c r="C267">
        <v>11</v>
      </c>
      <c r="D267">
        <v>3</v>
      </c>
    </row>
    <row r="268" spans="1:4" x14ac:dyDescent="0.25">
      <c r="A268" t="s">
        <v>325</v>
      </c>
      <c r="B268" t="s">
        <v>169</v>
      </c>
      <c r="C268">
        <v>11</v>
      </c>
      <c r="D268">
        <v>1</v>
      </c>
    </row>
    <row r="269" spans="1:4" x14ac:dyDescent="0.25">
      <c r="A269" t="s">
        <v>325</v>
      </c>
      <c r="B269" t="s">
        <v>179</v>
      </c>
      <c r="C269">
        <v>11</v>
      </c>
      <c r="D269">
        <v>1</v>
      </c>
    </row>
    <row r="270" spans="1:4" x14ac:dyDescent="0.25">
      <c r="A270" t="s">
        <v>325</v>
      </c>
      <c r="B270" t="s">
        <v>190</v>
      </c>
      <c r="C270">
        <v>11</v>
      </c>
      <c r="D270">
        <v>1</v>
      </c>
    </row>
    <row r="271" spans="1:4" x14ac:dyDescent="0.25">
      <c r="A271" t="s">
        <v>325</v>
      </c>
      <c r="B271" t="s">
        <v>210</v>
      </c>
      <c r="C271">
        <v>11</v>
      </c>
      <c r="D271">
        <v>68500</v>
      </c>
    </row>
    <row r="272" spans="1:4" x14ac:dyDescent="0.25">
      <c r="A272" t="s">
        <v>325</v>
      </c>
      <c r="B272" t="s">
        <v>219</v>
      </c>
      <c r="C272">
        <v>11</v>
      </c>
      <c r="D272">
        <v>1</v>
      </c>
    </row>
    <row r="273" spans="1:4" x14ac:dyDescent="0.25">
      <c r="A273" t="s">
        <v>325</v>
      </c>
      <c r="B273" t="s">
        <v>223</v>
      </c>
      <c r="C273">
        <v>11</v>
      </c>
      <c r="D273">
        <v>1</v>
      </c>
    </row>
    <row r="274" spans="1:4" x14ac:dyDescent="0.25">
      <c r="A274" t="s">
        <v>325</v>
      </c>
      <c r="B274" t="s">
        <v>225</v>
      </c>
      <c r="C274">
        <v>11</v>
      </c>
      <c r="D274">
        <v>200</v>
      </c>
    </row>
    <row r="275" spans="1:4" x14ac:dyDescent="0.25">
      <c r="A275" t="s">
        <v>325</v>
      </c>
      <c r="B275" t="s">
        <v>227</v>
      </c>
      <c r="C275">
        <v>11</v>
      </c>
      <c r="D275">
        <v>1</v>
      </c>
    </row>
    <row r="276" spans="1:4" x14ac:dyDescent="0.25">
      <c r="A276" t="s">
        <v>325</v>
      </c>
      <c r="B276" t="s">
        <v>245</v>
      </c>
      <c r="C276">
        <v>11</v>
      </c>
      <c r="D276">
        <v>10</v>
      </c>
    </row>
    <row r="277" spans="1:4" x14ac:dyDescent="0.25">
      <c r="A277" t="s">
        <v>325</v>
      </c>
      <c r="B277" t="s">
        <v>250</v>
      </c>
      <c r="C277">
        <v>11</v>
      </c>
      <c r="D277">
        <v>5</v>
      </c>
    </row>
    <row r="278" spans="1:4" x14ac:dyDescent="0.25">
      <c r="A278" t="s">
        <v>325</v>
      </c>
      <c r="B278" t="s">
        <v>252</v>
      </c>
      <c r="C278">
        <v>11</v>
      </c>
      <c r="D278">
        <v>5</v>
      </c>
    </row>
    <row r="279" spans="1:4" x14ac:dyDescent="0.25">
      <c r="A279" t="s">
        <v>325</v>
      </c>
      <c r="B279" t="s">
        <v>254</v>
      </c>
      <c r="C279">
        <v>11</v>
      </c>
      <c r="D279">
        <v>8</v>
      </c>
    </row>
    <row r="280" spans="1:4" x14ac:dyDescent="0.25">
      <c r="A280" t="s">
        <v>325</v>
      </c>
      <c r="B280" t="s">
        <v>257</v>
      </c>
      <c r="C280">
        <v>11</v>
      </c>
      <c r="D280">
        <v>658000</v>
      </c>
    </row>
    <row r="281" spans="1:4" x14ac:dyDescent="0.25">
      <c r="A281" t="s">
        <v>326</v>
      </c>
      <c r="B281" t="s">
        <v>169</v>
      </c>
      <c r="C281">
        <v>11</v>
      </c>
      <c r="D281">
        <v>5</v>
      </c>
    </row>
    <row r="282" spans="1:4" x14ac:dyDescent="0.25">
      <c r="A282" t="s">
        <v>326</v>
      </c>
      <c r="B282" t="s">
        <v>188</v>
      </c>
      <c r="C282">
        <v>11</v>
      </c>
      <c r="D282">
        <v>2</v>
      </c>
    </row>
    <row r="283" spans="1:4" x14ac:dyDescent="0.25">
      <c r="A283" t="s">
        <v>326</v>
      </c>
      <c r="B283" t="s">
        <v>215</v>
      </c>
      <c r="C283">
        <v>11</v>
      </c>
      <c r="D283">
        <v>2</v>
      </c>
    </row>
    <row r="284" spans="1:4" x14ac:dyDescent="0.25">
      <c r="A284" t="s">
        <v>326</v>
      </c>
      <c r="B284" t="s">
        <v>223</v>
      </c>
      <c r="C284">
        <v>11</v>
      </c>
      <c r="D284">
        <v>2</v>
      </c>
    </row>
    <row r="285" spans="1:4" x14ac:dyDescent="0.25">
      <c r="A285" t="s">
        <v>326</v>
      </c>
      <c r="B285" t="s">
        <v>230</v>
      </c>
      <c r="C285">
        <v>11</v>
      </c>
      <c r="D285">
        <v>4</v>
      </c>
    </row>
    <row r="286" spans="1:4" x14ac:dyDescent="0.25">
      <c r="A286" t="s">
        <v>326</v>
      </c>
      <c r="B286" t="s">
        <v>238</v>
      </c>
      <c r="C286">
        <v>11</v>
      </c>
      <c r="D286">
        <v>10</v>
      </c>
    </row>
    <row r="287" spans="1:4" x14ac:dyDescent="0.25">
      <c r="A287" t="s">
        <v>326</v>
      </c>
      <c r="B287" t="s">
        <v>245</v>
      </c>
      <c r="C287">
        <v>11</v>
      </c>
      <c r="D287">
        <v>10</v>
      </c>
    </row>
    <row r="288" spans="1:4" x14ac:dyDescent="0.25">
      <c r="A288" t="s">
        <v>326</v>
      </c>
      <c r="B288" t="s">
        <v>247</v>
      </c>
      <c r="C288">
        <v>11</v>
      </c>
      <c r="D288">
        <v>5</v>
      </c>
    </row>
    <row r="289" spans="1:4" x14ac:dyDescent="0.25">
      <c r="A289" t="s">
        <v>326</v>
      </c>
      <c r="B289" t="s">
        <v>252</v>
      </c>
      <c r="C289">
        <v>11</v>
      </c>
      <c r="D289">
        <v>3</v>
      </c>
    </row>
    <row r="290" spans="1:4" x14ac:dyDescent="0.25">
      <c r="A290" t="s">
        <v>326</v>
      </c>
      <c r="B290" t="s">
        <v>261</v>
      </c>
      <c r="C290">
        <v>11</v>
      </c>
      <c r="D290">
        <v>6</v>
      </c>
    </row>
    <row r="291" spans="1:4" x14ac:dyDescent="0.25">
      <c r="A291" t="s">
        <v>327</v>
      </c>
      <c r="B291" t="s">
        <v>190</v>
      </c>
      <c r="C291">
        <v>11</v>
      </c>
      <c r="D291">
        <v>1</v>
      </c>
    </row>
    <row r="292" spans="1:4" x14ac:dyDescent="0.25">
      <c r="A292" t="s">
        <v>327</v>
      </c>
      <c r="B292" t="s">
        <v>252</v>
      </c>
      <c r="C292">
        <v>11</v>
      </c>
      <c r="D292">
        <v>2</v>
      </c>
    </row>
    <row r="293" spans="1:4" x14ac:dyDescent="0.25">
      <c r="A293" t="s">
        <v>327</v>
      </c>
      <c r="B293" t="s">
        <v>254</v>
      </c>
      <c r="C293">
        <v>11</v>
      </c>
      <c r="D293">
        <v>6</v>
      </c>
    </row>
    <row r="294" spans="1:4" x14ac:dyDescent="0.25">
      <c r="A294" t="s">
        <v>327</v>
      </c>
      <c r="B294" t="s">
        <v>164</v>
      </c>
      <c r="C294">
        <v>11</v>
      </c>
      <c r="D294">
        <v>40</v>
      </c>
    </row>
    <row r="295" spans="1:4" x14ac:dyDescent="0.25">
      <c r="A295" t="s">
        <v>327</v>
      </c>
      <c r="B295" t="s">
        <v>263</v>
      </c>
      <c r="C295">
        <v>11</v>
      </c>
      <c r="D295">
        <v>20</v>
      </c>
    </row>
    <row r="296" spans="1:4" x14ac:dyDescent="0.25">
      <c r="A296" t="s">
        <v>327</v>
      </c>
      <c r="B296" t="s">
        <v>277</v>
      </c>
      <c r="C296">
        <v>11</v>
      </c>
      <c r="D296">
        <v>21</v>
      </c>
    </row>
    <row r="297" spans="1:4" x14ac:dyDescent="0.25">
      <c r="A297" t="s">
        <v>327</v>
      </c>
      <c r="B297" t="s">
        <v>279</v>
      </c>
      <c r="C297">
        <v>11</v>
      </c>
      <c r="D297">
        <v>8</v>
      </c>
    </row>
    <row r="298" spans="1:4" x14ac:dyDescent="0.25">
      <c r="A298" t="s">
        <v>329</v>
      </c>
      <c r="B298" t="s">
        <v>164</v>
      </c>
      <c r="C298">
        <v>11</v>
      </c>
      <c r="D298">
        <v>8</v>
      </c>
    </row>
    <row r="299" spans="1:4" x14ac:dyDescent="0.25">
      <c r="A299" t="s">
        <v>329</v>
      </c>
      <c r="B299" t="s">
        <v>169</v>
      </c>
      <c r="C299">
        <v>11</v>
      </c>
      <c r="D299">
        <v>1</v>
      </c>
    </row>
    <row r="300" spans="1:4" x14ac:dyDescent="0.25">
      <c r="A300" t="s">
        <v>329</v>
      </c>
      <c r="B300" t="s">
        <v>190</v>
      </c>
      <c r="C300">
        <v>11</v>
      </c>
      <c r="D300">
        <v>1</v>
      </c>
    </row>
    <row r="301" spans="1:4" x14ac:dyDescent="0.25">
      <c r="A301" t="s">
        <v>329</v>
      </c>
      <c r="B301" t="s">
        <v>197</v>
      </c>
      <c r="C301">
        <v>11</v>
      </c>
      <c r="D301">
        <v>10</v>
      </c>
    </row>
    <row r="302" spans="1:4" x14ac:dyDescent="0.25">
      <c r="A302" t="s">
        <v>329</v>
      </c>
      <c r="B302" t="s">
        <v>279</v>
      </c>
      <c r="C302">
        <v>11</v>
      </c>
      <c r="D302">
        <v>0</v>
      </c>
    </row>
    <row r="303" spans="1:4" x14ac:dyDescent="0.25">
      <c r="A303" t="s">
        <v>330</v>
      </c>
      <c r="B303" t="s">
        <v>164</v>
      </c>
      <c r="C303">
        <v>11</v>
      </c>
      <c r="D303">
        <v>15</v>
      </c>
    </row>
    <row r="304" spans="1:4" x14ac:dyDescent="0.25">
      <c r="A304" t="s">
        <v>330</v>
      </c>
      <c r="B304" t="s">
        <v>167</v>
      </c>
      <c r="C304">
        <v>11</v>
      </c>
      <c r="D304">
        <v>8</v>
      </c>
    </row>
    <row r="305" spans="1:4" x14ac:dyDescent="0.25">
      <c r="A305" t="s">
        <v>330</v>
      </c>
      <c r="B305" t="s">
        <v>169</v>
      </c>
      <c r="C305">
        <v>11</v>
      </c>
      <c r="D305">
        <v>3</v>
      </c>
    </row>
    <row r="306" spans="1:4" x14ac:dyDescent="0.25">
      <c r="A306" t="s">
        <v>330</v>
      </c>
      <c r="B306" t="s">
        <v>179</v>
      </c>
      <c r="C306">
        <v>11</v>
      </c>
      <c r="D306">
        <v>2</v>
      </c>
    </row>
    <row r="307" spans="1:4" x14ac:dyDescent="0.25">
      <c r="A307" t="s">
        <v>330</v>
      </c>
      <c r="B307" t="s">
        <v>197</v>
      </c>
      <c r="C307">
        <v>11</v>
      </c>
      <c r="D307">
        <v>100</v>
      </c>
    </row>
    <row r="308" spans="1:4" x14ac:dyDescent="0.25">
      <c r="A308" t="s">
        <v>330</v>
      </c>
      <c r="B308" t="s">
        <v>223</v>
      </c>
      <c r="C308">
        <v>11</v>
      </c>
      <c r="D308">
        <v>1</v>
      </c>
    </row>
    <row r="309" spans="1:4" x14ac:dyDescent="0.25">
      <c r="A309" t="s">
        <v>330</v>
      </c>
      <c r="B309" t="s">
        <v>238</v>
      </c>
      <c r="C309">
        <v>11</v>
      </c>
      <c r="D309">
        <v>50</v>
      </c>
    </row>
    <row r="310" spans="1:4" x14ac:dyDescent="0.25">
      <c r="A310" t="s">
        <v>330</v>
      </c>
      <c r="B310" t="s">
        <v>240</v>
      </c>
      <c r="C310">
        <v>11</v>
      </c>
      <c r="D310">
        <v>10</v>
      </c>
    </row>
    <row r="311" spans="1:4" x14ac:dyDescent="0.25">
      <c r="A311" t="s">
        <v>330</v>
      </c>
      <c r="B311" t="s">
        <v>259</v>
      </c>
      <c r="C311">
        <v>11</v>
      </c>
      <c r="D311">
        <v>0</v>
      </c>
    </row>
    <row r="312" spans="1:4" x14ac:dyDescent="0.25">
      <c r="A312" t="s">
        <v>330</v>
      </c>
      <c r="B312" t="s">
        <v>287</v>
      </c>
      <c r="C312">
        <v>11</v>
      </c>
      <c r="D312">
        <v>5</v>
      </c>
    </row>
    <row r="313" spans="1:4" x14ac:dyDescent="0.25">
      <c r="A313" t="s">
        <v>331</v>
      </c>
      <c r="B313" t="s">
        <v>169</v>
      </c>
      <c r="C313">
        <v>11</v>
      </c>
      <c r="D313">
        <v>2</v>
      </c>
    </row>
    <row r="314" spans="1:4" x14ac:dyDescent="0.25">
      <c r="A314" t="s">
        <v>331</v>
      </c>
      <c r="B314" t="s">
        <v>171</v>
      </c>
      <c r="C314">
        <v>11</v>
      </c>
      <c r="D314">
        <v>2</v>
      </c>
    </row>
    <row r="315" spans="1:4" x14ac:dyDescent="0.25">
      <c r="A315" t="s">
        <v>331</v>
      </c>
      <c r="B315" t="s">
        <v>179</v>
      </c>
      <c r="C315">
        <v>11</v>
      </c>
      <c r="D315">
        <v>1</v>
      </c>
    </row>
    <row r="316" spans="1:4" x14ac:dyDescent="0.25">
      <c r="A316" t="s">
        <v>331</v>
      </c>
      <c r="B316" t="s">
        <v>210</v>
      </c>
      <c r="C316">
        <v>11</v>
      </c>
      <c r="D316">
        <v>0</v>
      </c>
    </row>
    <row r="317" spans="1:4" x14ac:dyDescent="0.25">
      <c r="A317" t="s">
        <v>331</v>
      </c>
      <c r="B317" t="s">
        <v>223</v>
      </c>
      <c r="C317">
        <v>11</v>
      </c>
      <c r="D317">
        <v>2</v>
      </c>
    </row>
    <row r="318" spans="1:4" x14ac:dyDescent="0.25">
      <c r="A318" t="s">
        <v>331</v>
      </c>
      <c r="B318" t="s">
        <v>238</v>
      </c>
      <c r="C318">
        <v>11</v>
      </c>
      <c r="D318">
        <v>32</v>
      </c>
    </row>
    <row r="319" spans="1:4" x14ac:dyDescent="0.25">
      <c r="A319" t="s">
        <v>331</v>
      </c>
      <c r="B319" t="s">
        <v>243</v>
      </c>
      <c r="C319">
        <v>11</v>
      </c>
      <c r="D319">
        <v>0</v>
      </c>
    </row>
    <row r="320" spans="1:4" x14ac:dyDescent="0.25">
      <c r="A320" t="s">
        <v>331</v>
      </c>
      <c r="B320" t="s">
        <v>247</v>
      </c>
      <c r="C320">
        <v>11</v>
      </c>
      <c r="D320">
        <v>0</v>
      </c>
    </row>
    <row r="321" spans="1:4" x14ac:dyDescent="0.25">
      <c r="A321" t="s">
        <v>331</v>
      </c>
      <c r="B321" t="s">
        <v>250</v>
      </c>
      <c r="C321">
        <v>11</v>
      </c>
      <c r="D321">
        <v>1</v>
      </c>
    </row>
    <row r="322" spans="1:4" x14ac:dyDescent="0.25">
      <c r="A322" t="s">
        <v>331</v>
      </c>
      <c r="B322" t="s">
        <v>254</v>
      </c>
      <c r="C322">
        <v>11</v>
      </c>
      <c r="D322">
        <v>1</v>
      </c>
    </row>
    <row r="323" spans="1:4" x14ac:dyDescent="0.25">
      <c r="A323" t="s">
        <v>332</v>
      </c>
      <c r="B323" t="s">
        <v>164</v>
      </c>
      <c r="C323">
        <v>11</v>
      </c>
      <c r="D323">
        <v>6</v>
      </c>
    </row>
    <row r="324" spans="1:4" x14ac:dyDescent="0.25">
      <c r="A324" t="s">
        <v>332</v>
      </c>
      <c r="B324" t="s">
        <v>171</v>
      </c>
      <c r="C324">
        <v>11</v>
      </c>
      <c r="D324">
        <v>6</v>
      </c>
    </row>
    <row r="325" spans="1:4" x14ac:dyDescent="0.25">
      <c r="A325" t="s">
        <v>332</v>
      </c>
      <c r="B325" t="s">
        <v>190</v>
      </c>
      <c r="C325">
        <v>11</v>
      </c>
      <c r="D325">
        <v>2</v>
      </c>
    </row>
    <row r="326" spans="1:4" x14ac:dyDescent="0.25">
      <c r="A326" t="s">
        <v>332</v>
      </c>
      <c r="B326" t="s">
        <v>210</v>
      </c>
      <c r="C326">
        <v>11</v>
      </c>
      <c r="D326">
        <v>100</v>
      </c>
    </row>
    <row r="327" spans="1:4" x14ac:dyDescent="0.25">
      <c r="A327" t="s">
        <v>332</v>
      </c>
      <c r="B327" t="s">
        <v>217</v>
      </c>
      <c r="C327">
        <v>11</v>
      </c>
      <c r="D327">
        <v>5</v>
      </c>
    </row>
    <row r="328" spans="1:4" x14ac:dyDescent="0.25">
      <c r="A328" t="s">
        <v>332</v>
      </c>
      <c r="B328" t="s">
        <v>219</v>
      </c>
      <c r="C328">
        <v>11</v>
      </c>
      <c r="D328">
        <v>1</v>
      </c>
    </row>
    <row r="329" spans="1:4" x14ac:dyDescent="0.25">
      <c r="A329" t="s">
        <v>332</v>
      </c>
      <c r="B329" t="s">
        <v>263</v>
      </c>
      <c r="C329">
        <v>11</v>
      </c>
      <c r="D329">
        <v>10</v>
      </c>
    </row>
    <row r="330" spans="1:4" x14ac:dyDescent="0.25">
      <c r="A330" t="s">
        <v>332</v>
      </c>
      <c r="B330" t="s">
        <v>279</v>
      </c>
      <c r="C330">
        <v>11</v>
      </c>
      <c r="D330">
        <v>310</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33799-12CA-427C-87FE-7B88773F96F5}">
  <dimension ref="A1:Y66"/>
  <sheetViews>
    <sheetView showRuler="0" zoomScaleNormal="100" zoomScaleSheetLayoutView="400" zoomScalePageLayoutView="90" workbookViewId="0">
      <pane xSplit="1" ySplit="2" topLeftCell="B3" activePane="bottomRight" state="frozen"/>
      <selection pane="topRight" activeCell="C1" sqref="C1"/>
      <selection pane="bottomLeft" activeCell="A3" sqref="A3"/>
      <selection pane="bottomRight" activeCell="A38" sqref="A38:XFD38"/>
    </sheetView>
  </sheetViews>
  <sheetFormatPr defaultColWidth="9.28515625" defaultRowHeight="14.25" customHeight="1" x14ac:dyDescent="0.2"/>
  <cols>
    <col min="1" max="1" width="9.28515625" style="1"/>
    <col min="2" max="6" width="9.28515625" style="1" bestFit="1" customWidth="1"/>
    <col min="7" max="7" width="9.28515625" style="4" bestFit="1" customWidth="1"/>
    <col min="8" max="12" width="9.28515625" style="1" bestFit="1" customWidth="1"/>
    <col min="13" max="13" width="9.28515625" style="4" bestFit="1" customWidth="1"/>
    <col min="14" max="16" width="9.28515625" style="1" bestFit="1" customWidth="1"/>
    <col min="17" max="17" width="10.42578125" style="1" bestFit="1" customWidth="1"/>
    <col min="18" max="18" width="9.28515625" style="1" bestFit="1" customWidth="1"/>
    <col min="19" max="19" width="10.42578125" style="4" bestFit="1" customWidth="1"/>
    <col min="20" max="22" width="9.28515625" style="1" bestFit="1" customWidth="1"/>
    <col min="23" max="23" width="10.42578125" style="1" bestFit="1" customWidth="1"/>
    <col min="24" max="24" width="9.28515625" style="1" bestFit="1" customWidth="1"/>
    <col min="25" max="25" width="10.42578125" style="4" bestFit="1" customWidth="1"/>
    <col min="26" max="16384" width="9.28515625" style="1"/>
  </cols>
  <sheetData>
    <row r="1" spans="1:25" ht="14.25" customHeight="1" x14ac:dyDescent="0.2">
      <c r="B1" s="4">
        <v>2021</v>
      </c>
      <c r="H1" s="4">
        <v>2022</v>
      </c>
      <c r="N1" s="4">
        <v>2023</v>
      </c>
      <c r="T1" s="4">
        <v>2024</v>
      </c>
    </row>
    <row r="2" spans="1:25" ht="14.25" customHeight="1" x14ac:dyDescent="0.2">
      <c r="B2" s="4">
        <v>7</v>
      </c>
      <c r="C2" s="4">
        <v>8</v>
      </c>
      <c r="D2" s="4">
        <v>9</v>
      </c>
      <c r="E2" s="4">
        <v>10</v>
      </c>
      <c r="F2" s="4">
        <v>11</v>
      </c>
      <c r="G2" s="4" t="s">
        <v>435</v>
      </c>
      <c r="H2" s="4">
        <v>7</v>
      </c>
      <c r="I2" s="4">
        <v>8</v>
      </c>
      <c r="J2" s="4">
        <v>9</v>
      </c>
      <c r="K2" s="4">
        <v>10</v>
      </c>
      <c r="L2" s="4">
        <v>11</v>
      </c>
      <c r="M2" s="4" t="s">
        <v>435</v>
      </c>
      <c r="N2" s="4">
        <v>7</v>
      </c>
      <c r="O2" s="4">
        <v>8</v>
      </c>
      <c r="P2" s="4">
        <v>9</v>
      </c>
      <c r="Q2" s="4">
        <v>10</v>
      </c>
      <c r="R2" s="4">
        <v>11</v>
      </c>
      <c r="S2" s="4" t="s">
        <v>435</v>
      </c>
      <c r="T2" s="4">
        <v>7</v>
      </c>
      <c r="U2" s="4">
        <v>8</v>
      </c>
      <c r="V2" s="4">
        <v>9</v>
      </c>
      <c r="W2" s="4">
        <v>10</v>
      </c>
      <c r="X2" s="4">
        <v>11</v>
      </c>
      <c r="Y2" s="4" t="s">
        <v>435</v>
      </c>
    </row>
    <row r="3" spans="1:25" ht="14.25" customHeight="1" x14ac:dyDescent="0.2">
      <c r="A3" s="4" t="s">
        <v>164</v>
      </c>
      <c r="B3" s="6">
        <f>SUMIFS(Table3[Result],Table3[Round],B$2,Table3[SI],$A3,Table3[Year],B$1)</f>
        <v>3</v>
      </c>
      <c r="C3" s="6">
        <f>SUMIFS(Table3[Result],Table3[Round],C$2,Table3[SI],$A3,Table3[Year],B$1)</f>
        <v>64</v>
      </c>
      <c r="D3" s="6">
        <f>SUMIFS(Table3[Result],Table3[Round],D$2,Table3[SI],$A3,Table3[Year],B$1)</f>
        <v>0</v>
      </c>
      <c r="E3" s="6">
        <f>SUMIFS(Table3[Result],Table3[Round],E$2,Table3[SI],$A3,Table3[Year],B$1)</f>
        <v>0</v>
      </c>
      <c r="F3" s="6">
        <f>SUMIFS(Table3[Result],Table3[Round],F$2,Table3[SI],$A3,Table3[Year],B$1)</f>
        <v>0</v>
      </c>
      <c r="G3" s="8">
        <f>SUMIFS(Table3[Result],Table3[SI],$A3,Table3[Year],B$1)</f>
        <v>67</v>
      </c>
      <c r="H3" s="7">
        <f>SUMIFS(Table3[Result],Table3[Round],H$2,Table3[SI],$A3,Table3[Year],H$1)</f>
        <v>0</v>
      </c>
      <c r="I3" s="7">
        <f>SUMIFS(Table3[Result],Table3[Round],I$2,Table3[SI],$A3,Table3[Year],H$1)</f>
        <v>23</v>
      </c>
      <c r="J3" s="7">
        <f>SUMIFS(Table3[Result],Table3[Round],J$2,Table3[SI],$A3,Table3[Year],H$1)</f>
        <v>104</v>
      </c>
      <c r="K3" s="7">
        <f>SUMIFS(Table3[Result],Table3[Round],K$2,Table3[SI],$A3,Table3[Year],H$1)</f>
        <v>0</v>
      </c>
      <c r="L3" s="7">
        <f>SUMIFS(Table3[Result],Table3[Round],L$2,Table3[SI],$A3,Table3[Year],H$1)</f>
        <v>0</v>
      </c>
      <c r="M3" s="9">
        <f>SUMIFS(Table3[Result],Table3[SI],$A3,Table3[Year],H$1)</f>
        <v>127</v>
      </c>
      <c r="N3" s="6">
        <f>SUMIFS(Table3[Result],Table3[Round],N$2,Table3[SI],$A3,Table3[Year],N$1)</f>
        <v>0</v>
      </c>
      <c r="O3" s="6">
        <f>SUMIFS(Table3[Result],Table3[Round],O$2,Table3[SI],$A3,Table3[Year],N$1)</f>
        <v>4</v>
      </c>
      <c r="P3" s="6">
        <f>SUMIFS(Table3[Result],Table3[Round],P$2,Table3[SI],$A3,Table3[Year],N$1)</f>
        <v>390</v>
      </c>
      <c r="Q3" s="6">
        <f>SUMIFS(Table3[Result],Table3[Round],Q$2,Table3[SI],$A3,Table3[Year],N$1)</f>
        <v>212</v>
      </c>
      <c r="R3" s="6">
        <f>SUMIFS(Table3[Result],Table3[Round],R$2,Table3[SI],$A3,Table3[Year],N$1)</f>
        <v>0</v>
      </c>
      <c r="S3" s="8">
        <f>SUMIFS(Table3[Result],Table3[SI],$A3,Table3[Year],N$1)</f>
        <v>606</v>
      </c>
      <c r="T3" s="7">
        <f>SUMIFS(Table3[Result],Table3[Round],T$2,Table3[SI],$A3,Table3[Year],T$1)</f>
        <v>0</v>
      </c>
      <c r="U3" s="7">
        <f>SUMIFS(Table3[Result],Table3[Round],U$2,Table3[SI],$A3,Table3[Year],T$1)</f>
        <v>0</v>
      </c>
      <c r="V3" s="7">
        <f>SUMIFS(Table3[Result],Table3[Round],V$2,Table3[SI],$A3,Table3[Year],T$1)</f>
        <v>84</v>
      </c>
      <c r="W3" s="7">
        <f>SUMIFS(Table3[Result],Table3[Round],W$2,Table3[SI],$A3,Table3[Year],T$1)</f>
        <v>38</v>
      </c>
      <c r="X3" s="7">
        <f>SUMIFS(Table3[Result],Table3[Round],X$2,Table3[SI],$A3,Table3[Year],T$1)</f>
        <v>19</v>
      </c>
      <c r="Y3" s="9">
        <f>SUMIFS(Table3[Result],Table3[SI],$A3,Table3[Year],T$1)</f>
        <v>141</v>
      </c>
    </row>
    <row r="4" spans="1:25" ht="14.25" customHeight="1" x14ac:dyDescent="0.2">
      <c r="A4" s="4" t="s">
        <v>167</v>
      </c>
      <c r="B4" s="6">
        <f>SUMIFS(Table3[Result],Table3[Round],B$2,Table3[SI],$A4,Table3[Year],B$1)</f>
        <v>0</v>
      </c>
      <c r="C4" s="6">
        <f>SUMIFS(Table3[Result],Table3[Round],C$2,Table3[SI],$A4,Table3[Year],B$1)</f>
        <v>0</v>
      </c>
      <c r="D4" s="6">
        <f>SUMIFS(Table3[Result],Table3[Round],D$2,Table3[SI],$A4,Table3[Year],B$1)</f>
        <v>0</v>
      </c>
      <c r="E4" s="6">
        <f>SUMIFS(Table3[Result],Table3[Round],E$2,Table3[SI],$A4,Table3[Year],B$1)</f>
        <v>0</v>
      </c>
      <c r="F4" s="6">
        <f>SUMIFS(Table3[Result],Table3[Round],F$2,Table3[SI],$A4,Table3[Year],B$1)</f>
        <v>0</v>
      </c>
      <c r="G4" s="8">
        <f>SUMIFS(Table3[Result],Table3[SI],$A4,Table3[Year],B$1)</f>
        <v>0</v>
      </c>
      <c r="H4" s="7">
        <f>SUMIFS(Table3[Result],Table3[Round],H$2,Table3[SI],$A4,Table3[Year],H$1)</f>
        <v>0</v>
      </c>
      <c r="I4" s="7">
        <f>SUMIFS(Table3[Result],Table3[Round],I$2,Table3[SI],$A4,Table3[Year],H$1)</f>
        <v>0</v>
      </c>
      <c r="J4" s="7">
        <f>SUMIFS(Table3[Result],Table3[Round],J$2,Table3[SI],$A4,Table3[Year],H$1)</f>
        <v>0</v>
      </c>
      <c r="K4" s="7">
        <f>SUMIFS(Table3[Result],Table3[Round],K$2,Table3[SI],$A4,Table3[Year],H$1)</f>
        <v>0</v>
      </c>
      <c r="L4" s="7">
        <f>SUMIFS(Table3[Result],Table3[Round],L$2,Table3[SI],$A4,Table3[Year],H$1)</f>
        <v>0</v>
      </c>
      <c r="M4" s="9">
        <f>SUMIFS(Table3[Result],Table3[SI],$A4,Table3[Year],H$1)</f>
        <v>0</v>
      </c>
      <c r="N4" s="6">
        <f>SUMIFS(Table3[Result],Table3[Round],N$2,Table3[SI],$A4,Table3[Year],N$1)</f>
        <v>0</v>
      </c>
      <c r="O4" s="6">
        <f>SUMIFS(Table3[Result],Table3[Round],O$2,Table3[SI],$A4,Table3[Year],N$1)</f>
        <v>0</v>
      </c>
      <c r="P4" s="6">
        <f>SUMIFS(Table3[Result],Table3[Round],P$2,Table3[SI],$A4,Table3[Year],N$1)</f>
        <v>0</v>
      </c>
      <c r="Q4" s="6">
        <f>SUMIFS(Table3[Result],Table3[Round],Q$2,Table3[SI],$A4,Table3[Year],N$1)</f>
        <v>0</v>
      </c>
      <c r="R4" s="6">
        <f>SUMIFS(Table3[Result],Table3[Round],R$2,Table3[SI],$A4,Table3[Year],N$1)</f>
        <v>0</v>
      </c>
      <c r="S4" s="8">
        <f>SUMIFS(Table3[Result],Table3[SI],$A4,Table3[Year],N$1)</f>
        <v>0</v>
      </c>
      <c r="T4" s="7">
        <f>SUMIFS(Table3[Result],Table3[Round],T$2,Table3[SI],$A4,Table3[Year],T$1)</f>
        <v>0</v>
      </c>
      <c r="U4" s="7">
        <f>SUMIFS(Table3[Result],Table3[Round],U$2,Table3[SI],$A4,Table3[Year],T$1)</f>
        <v>0</v>
      </c>
      <c r="V4" s="7">
        <f>SUMIFS(Table3[Result],Table3[Round],V$2,Table3[SI],$A4,Table3[Year],T$1)</f>
        <v>0</v>
      </c>
      <c r="W4" s="7">
        <f>SUMIFS(Table3[Result],Table3[Round],W$2,Table3[SI],$A4,Table3[Year],T$1)</f>
        <v>2</v>
      </c>
      <c r="X4" s="7">
        <f>SUMIFS(Table3[Result],Table3[Round],X$2,Table3[SI],$A4,Table3[Year],T$1)</f>
        <v>1</v>
      </c>
      <c r="Y4" s="9">
        <f>SUMIFS(Table3[Result],Table3[SI],$A4,Table3[Year],T$1)</f>
        <v>3</v>
      </c>
    </row>
    <row r="5" spans="1:25" ht="14.25" customHeight="1" x14ac:dyDescent="0.2">
      <c r="A5" s="4" t="s">
        <v>169</v>
      </c>
      <c r="B5" s="6">
        <f>SUMIFS(Table3[Result],Table3[Round],B$2,Table3[SI],$A5,Table3[Year],B$1)</f>
        <v>0</v>
      </c>
      <c r="C5" s="6">
        <f>SUMIFS(Table3[Result],Table3[Round],C$2,Table3[SI],$A5,Table3[Year],B$1)</f>
        <v>0</v>
      </c>
      <c r="D5" s="6">
        <f>SUMIFS(Table3[Result],Table3[Round],D$2,Table3[SI],$A5,Table3[Year],B$1)</f>
        <v>0</v>
      </c>
      <c r="E5" s="6">
        <f>SUMIFS(Table3[Result],Table3[Round],E$2,Table3[SI],$A5,Table3[Year],B$1)</f>
        <v>0</v>
      </c>
      <c r="F5" s="6">
        <f>SUMIFS(Table3[Result],Table3[Round],F$2,Table3[SI],$A5,Table3[Year],B$1)</f>
        <v>0</v>
      </c>
      <c r="G5" s="8">
        <f>SUMIFS(Table3[Result],Table3[SI],$A5,Table3[Year],B$1)</f>
        <v>0</v>
      </c>
      <c r="H5" s="7">
        <f>SUMIFS(Table3[Result],Table3[Round],H$2,Table3[SI],$A5,Table3[Year],H$1)</f>
        <v>0</v>
      </c>
      <c r="I5" s="7">
        <f>SUMIFS(Table3[Result],Table3[Round],I$2,Table3[SI],$A5,Table3[Year],H$1)</f>
        <v>3</v>
      </c>
      <c r="J5" s="7">
        <f>SUMIFS(Table3[Result],Table3[Round],J$2,Table3[SI],$A5,Table3[Year],H$1)</f>
        <v>5</v>
      </c>
      <c r="K5" s="7">
        <f>SUMIFS(Table3[Result],Table3[Round],K$2,Table3[SI],$A5,Table3[Year],H$1)</f>
        <v>0</v>
      </c>
      <c r="L5" s="7">
        <f>SUMIFS(Table3[Result],Table3[Round],L$2,Table3[SI],$A5,Table3[Year],H$1)</f>
        <v>0</v>
      </c>
      <c r="M5" s="9">
        <f>SUMIFS(Table3[Result],Table3[SI],$A5,Table3[Year],H$1)</f>
        <v>8</v>
      </c>
      <c r="N5" s="6">
        <f>SUMIFS(Table3[Result],Table3[Round],N$2,Table3[SI],$A5,Table3[Year],N$1)</f>
        <v>0</v>
      </c>
      <c r="O5" s="6">
        <f>SUMIFS(Table3[Result],Table3[Round],O$2,Table3[SI],$A5,Table3[Year],N$1)</f>
        <v>0</v>
      </c>
      <c r="P5" s="6">
        <f>SUMIFS(Table3[Result],Table3[Round],P$2,Table3[SI],$A5,Table3[Year],N$1)</f>
        <v>12</v>
      </c>
      <c r="Q5" s="6">
        <f>SUMIFS(Table3[Result],Table3[Round],Q$2,Table3[SI],$A5,Table3[Year],N$1)</f>
        <v>20</v>
      </c>
      <c r="R5" s="6">
        <f>SUMIFS(Table3[Result],Table3[Round],R$2,Table3[SI],$A5,Table3[Year],N$1)</f>
        <v>0</v>
      </c>
      <c r="S5" s="8">
        <f>SUMIFS(Table3[Result],Table3[SI],$A5,Table3[Year],N$1)</f>
        <v>32</v>
      </c>
      <c r="T5" s="7">
        <f>SUMIFS(Table3[Result],Table3[Round],T$2,Table3[SI],$A5,Table3[Year],T$1)</f>
        <v>0</v>
      </c>
      <c r="U5" s="7">
        <f>SUMIFS(Table3[Result],Table3[Round],U$2,Table3[SI],$A5,Table3[Year],T$1)</f>
        <v>0</v>
      </c>
      <c r="V5" s="7">
        <f>SUMIFS(Table3[Result],Table3[Round],V$2,Table3[SI],$A5,Table3[Year],T$1)</f>
        <v>15</v>
      </c>
      <c r="W5" s="7">
        <f>SUMIFS(Table3[Result],Table3[Round],W$2,Table3[SI],$A5,Table3[Year],T$1)</f>
        <v>15</v>
      </c>
      <c r="X5" s="7">
        <f>SUMIFS(Table3[Result],Table3[Round],X$2,Table3[SI],$A5,Table3[Year],T$1)</f>
        <v>1</v>
      </c>
      <c r="Y5" s="9">
        <f>SUMIFS(Table3[Result],Table3[SI],$A5,Table3[Year],T$1)</f>
        <v>31</v>
      </c>
    </row>
    <row r="6" spans="1:25" ht="14.25" customHeight="1" x14ac:dyDescent="0.2">
      <c r="A6" s="4" t="s">
        <v>171</v>
      </c>
      <c r="B6" s="6">
        <f>SUMIFS(Table3[Result],Table3[Round],B$2,Table3[SI],$A6,Table3[Year],B$1)</f>
        <v>0</v>
      </c>
      <c r="C6" s="6">
        <f>SUMIFS(Table3[Result],Table3[Round],C$2,Table3[SI],$A6,Table3[Year],B$1)</f>
        <v>0</v>
      </c>
      <c r="D6" s="6">
        <f>SUMIFS(Table3[Result],Table3[Round],D$2,Table3[SI],$A6,Table3[Year],B$1)</f>
        <v>0</v>
      </c>
      <c r="E6" s="6">
        <f>SUMIFS(Table3[Result],Table3[Round],E$2,Table3[SI],$A6,Table3[Year],B$1)</f>
        <v>0</v>
      </c>
      <c r="F6" s="6">
        <f>SUMIFS(Table3[Result],Table3[Round],F$2,Table3[SI],$A6,Table3[Year],B$1)</f>
        <v>0</v>
      </c>
      <c r="G6" s="8">
        <f>SUMIFS(Table3[Result],Table3[SI],$A6,Table3[Year],B$1)</f>
        <v>0</v>
      </c>
      <c r="H6" s="7">
        <f>SUMIFS(Table3[Result],Table3[Round],H$2,Table3[SI],$A6,Table3[Year],H$1)</f>
        <v>0</v>
      </c>
      <c r="I6" s="7">
        <f>SUMIFS(Table3[Result],Table3[Round],I$2,Table3[SI],$A6,Table3[Year],H$1)</f>
        <v>0</v>
      </c>
      <c r="J6" s="7">
        <f>SUMIFS(Table3[Result],Table3[Round],J$2,Table3[SI],$A6,Table3[Year],H$1)</f>
        <v>0</v>
      </c>
      <c r="K6" s="7">
        <f>SUMIFS(Table3[Result],Table3[Round],K$2,Table3[SI],$A6,Table3[Year],H$1)</f>
        <v>0</v>
      </c>
      <c r="L6" s="7">
        <f>SUMIFS(Table3[Result],Table3[Round],L$2,Table3[SI],$A6,Table3[Year],H$1)</f>
        <v>0</v>
      </c>
      <c r="M6" s="9">
        <f>SUMIFS(Table3[Result],Table3[SI],$A6,Table3[Year],H$1)</f>
        <v>0</v>
      </c>
      <c r="N6" s="6">
        <f>SUMIFS(Table3[Result],Table3[Round],N$2,Table3[SI],$A6,Table3[Year],N$1)</f>
        <v>0</v>
      </c>
      <c r="O6" s="6">
        <f>SUMIFS(Table3[Result],Table3[Round],O$2,Table3[SI],$A6,Table3[Year],N$1)</f>
        <v>0</v>
      </c>
      <c r="P6" s="6">
        <f>SUMIFS(Table3[Result],Table3[Round],P$2,Table3[SI],$A6,Table3[Year],N$1)</f>
        <v>20</v>
      </c>
      <c r="Q6" s="6">
        <f>SUMIFS(Table3[Result],Table3[Round],Q$2,Table3[SI],$A6,Table3[Year],N$1)</f>
        <v>108</v>
      </c>
      <c r="R6" s="6">
        <f>SUMIFS(Table3[Result],Table3[Round],R$2,Table3[SI],$A6,Table3[Year],N$1)</f>
        <v>0</v>
      </c>
      <c r="S6" s="8">
        <f>SUMIFS(Table3[Result],Table3[SI],$A6,Table3[Year],N$1)</f>
        <v>128</v>
      </c>
      <c r="T6" s="7">
        <f>SUMIFS(Table3[Result],Table3[Round],T$2,Table3[SI],$A6,Table3[Year],T$1)</f>
        <v>0</v>
      </c>
      <c r="U6" s="7">
        <f>SUMIFS(Table3[Result],Table3[Round],U$2,Table3[SI],$A6,Table3[Year],T$1)</f>
        <v>0</v>
      </c>
      <c r="V6" s="7">
        <f>SUMIFS(Table3[Result],Table3[Round],V$2,Table3[SI],$A6,Table3[Year],T$1)</f>
        <v>0</v>
      </c>
      <c r="W6" s="7">
        <f>SUMIFS(Table3[Result],Table3[Round],W$2,Table3[SI],$A6,Table3[Year],T$1)</f>
        <v>0</v>
      </c>
      <c r="X6" s="7">
        <f>SUMIFS(Table3[Result],Table3[Round],X$2,Table3[SI],$A6,Table3[Year],T$1)</f>
        <v>0</v>
      </c>
      <c r="Y6" s="9">
        <f>SUMIFS(Table3[Result],Table3[SI],$A6,Table3[Year],T$1)</f>
        <v>0</v>
      </c>
    </row>
    <row r="7" spans="1:25" ht="14.25" customHeight="1" x14ac:dyDescent="0.2">
      <c r="A7" s="4" t="s">
        <v>174</v>
      </c>
      <c r="B7" s="6">
        <f>SUMIFS(Table3[Result],Table3[Round],B$2,Table3[SI],$A7,Table3[Year],B$1)</f>
        <v>0</v>
      </c>
      <c r="C7" s="6">
        <f>SUMIFS(Table3[Result],Table3[Round],C$2,Table3[SI],$A7,Table3[Year],B$1)</f>
        <v>0</v>
      </c>
      <c r="D7" s="6">
        <f>SUMIFS(Table3[Result],Table3[Round],D$2,Table3[SI],$A7,Table3[Year],B$1)</f>
        <v>0</v>
      </c>
      <c r="E7" s="6">
        <f>SUMIFS(Table3[Result],Table3[Round],E$2,Table3[SI],$A7,Table3[Year],B$1)</f>
        <v>0</v>
      </c>
      <c r="F7" s="6">
        <f>SUMIFS(Table3[Result],Table3[Round],F$2,Table3[SI],$A7,Table3[Year],B$1)</f>
        <v>0</v>
      </c>
      <c r="G7" s="8">
        <f>SUMIFS(Table3[Result],Table3[SI],$A7,Table3[Year],B$1)</f>
        <v>0</v>
      </c>
      <c r="H7" s="7">
        <f>SUMIFS(Table3[Result],Table3[Round],H$2,Table3[SI],$A7,Table3[Year],H$1)</f>
        <v>0</v>
      </c>
      <c r="I7" s="7">
        <f>SUMIFS(Table3[Result],Table3[Round],I$2,Table3[SI],$A7,Table3[Year],H$1)</f>
        <v>0</v>
      </c>
      <c r="J7" s="7">
        <f>SUMIFS(Table3[Result],Table3[Round],J$2,Table3[SI],$A7,Table3[Year],H$1)</f>
        <v>0</v>
      </c>
      <c r="K7" s="7">
        <f>SUMIFS(Table3[Result],Table3[Round],K$2,Table3[SI],$A7,Table3[Year],H$1)</f>
        <v>0</v>
      </c>
      <c r="L7" s="7">
        <f>SUMIFS(Table3[Result],Table3[Round],L$2,Table3[SI],$A7,Table3[Year],H$1)</f>
        <v>0</v>
      </c>
      <c r="M7" s="9">
        <f>SUMIFS(Table3[Result],Table3[SI],$A7,Table3[Year],H$1)</f>
        <v>0</v>
      </c>
      <c r="N7" s="6">
        <f>SUMIFS(Table3[Result],Table3[Round],N$2,Table3[SI],$A7,Table3[Year],N$1)</f>
        <v>0</v>
      </c>
      <c r="O7" s="6">
        <f>SUMIFS(Table3[Result],Table3[Round],O$2,Table3[SI],$A7,Table3[Year],N$1)</f>
        <v>0</v>
      </c>
      <c r="P7" s="6">
        <f>SUMIFS(Table3[Result],Table3[Round],P$2,Table3[SI],$A7,Table3[Year],N$1)</f>
        <v>1</v>
      </c>
      <c r="Q7" s="6">
        <f>SUMIFS(Table3[Result],Table3[Round],Q$2,Table3[SI],$A7,Table3[Year],N$1)</f>
        <v>6</v>
      </c>
      <c r="R7" s="6">
        <f>SUMIFS(Table3[Result],Table3[Round],R$2,Table3[SI],$A7,Table3[Year],N$1)</f>
        <v>0</v>
      </c>
      <c r="S7" s="8">
        <f>SUMIFS(Table3[Result],Table3[SI],$A7,Table3[Year],N$1)</f>
        <v>7</v>
      </c>
      <c r="T7" s="7">
        <f>SUMIFS(Table3[Result],Table3[Round],T$2,Table3[SI],$A7,Table3[Year],T$1)</f>
        <v>0</v>
      </c>
      <c r="U7" s="7">
        <f>SUMIFS(Table3[Result],Table3[Round],U$2,Table3[SI],$A7,Table3[Year],T$1)</f>
        <v>0</v>
      </c>
      <c r="V7" s="7">
        <f>SUMIFS(Table3[Result],Table3[Round],V$2,Table3[SI],$A7,Table3[Year],T$1)</f>
        <v>0</v>
      </c>
      <c r="W7" s="7">
        <f>SUMIFS(Table3[Result],Table3[Round],W$2,Table3[SI],$A7,Table3[Year],T$1)</f>
        <v>0</v>
      </c>
      <c r="X7" s="7">
        <f>SUMIFS(Table3[Result],Table3[Round],X$2,Table3[SI],$A7,Table3[Year],T$1)</f>
        <v>0</v>
      </c>
      <c r="Y7" s="9">
        <f>SUMIFS(Table3[Result],Table3[SI],$A7,Table3[Year],T$1)</f>
        <v>0</v>
      </c>
    </row>
    <row r="8" spans="1:25" ht="14.25" customHeight="1" x14ac:dyDescent="0.2">
      <c r="A8" s="4" t="s">
        <v>177</v>
      </c>
      <c r="B8" s="6">
        <f>SUMIFS(Table3[Result],Table3[Round],B$2,Table3[SI],$A8,Table3[Year],B$1)</f>
        <v>0</v>
      </c>
      <c r="C8" s="6">
        <f>SUMIFS(Table3[Result],Table3[Round],C$2,Table3[SI],$A8,Table3[Year],B$1)</f>
        <v>0</v>
      </c>
      <c r="D8" s="6">
        <f>SUMIFS(Table3[Result],Table3[Round],D$2,Table3[SI],$A8,Table3[Year],B$1)</f>
        <v>0</v>
      </c>
      <c r="E8" s="6">
        <f>SUMIFS(Table3[Result],Table3[Round],E$2,Table3[SI],$A8,Table3[Year],B$1)</f>
        <v>0</v>
      </c>
      <c r="F8" s="6">
        <f>SUMIFS(Table3[Result],Table3[Round],F$2,Table3[SI],$A8,Table3[Year],B$1)</f>
        <v>0</v>
      </c>
      <c r="G8" s="8">
        <f>SUMIFS(Table3[Result],Table3[SI],$A8,Table3[Year],B$1)</f>
        <v>0</v>
      </c>
      <c r="H8" s="7">
        <f>SUMIFS(Table3[Result],Table3[Round],H$2,Table3[SI],$A8,Table3[Year],H$1)</f>
        <v>0</v>
      </c>
      <c r="I8" s="7">
        <f>SUMIFS(Table3[Result],Table3[Round],I$2,Table3[SI],$A8,Table3[Year],H$1)</f>
        <v>0</v>
      </c>
      <c r="J8" s="7">
        <f>SUMIFS(Table3[Result],Table3[Round],J$2,Table3[SI],$A8,Table3[Year],H$1)</f>
        <v>0</v>
      </c>
      <c r="K8" s="7">
        <f>SUMIFS(Table3[Result],Table3[Round],K$2,Table3[SI],$A8,Table3[Year],H$1)</f>
        <v>0</v>
      </c>
      <c r="L8" s="7">
        <f>SUMIFS(Table3[Result],Table3[Round],L$2,Table3[SI],$A8,Table3[Year],H$1)</f>
        <v>0</v>
      </c>
      <c r="M8" s="9">
        <f>SUMIFS(Table3[Result],Table3[SI],$A8,Table3[Year],H$1)</f>
        <v>0</v>
      </c>
      <c r="N8" s="6">
        <f>SUMIFS(Table3[Result],Table3[Round],N$2,Table3[SI],$A8,Table3[Year],N$1)</f>
        <v>0</v>
      </c>
      <c r="O8" s="6">
        <f>SUMIFS(Table3[Result],Table3[Round],O$2,Table3[SI],$A8,Table3[Year],N$1)</f>
        <v>0</v>
      </c>
      <c r="P8" s="6">
        <f>SUMIFS(Table3[Result],Table3[Round],P$2,Table3[SI],$A8,Table3[Year],N$1)</f>
        <v>0</v>
      </c>
      <c r="Q8" s="6">
        <f>SUMIFS(Table3[Result],Table3[Round],Q$2,Table3[SI],$A8,Table3[Year],N$1)</f>
        <v>0</v>
      </c>
      <c r="R8" s="6">
        <f>SUMIFS(Table3[Result],Table3[Round],R$2,Table3[SI],$A8,Table3[Year],N$1)</f>
        <v>0</v>
      </c>
      <c r="S8" s="8">
        <f>SUMIFS(Table3[Result],Table3[SI],$A8,Table3[Year],N$1)</f>
        <v>0</v>
      </c>
      <c r="T8" s="7">
        <f>SUMIFS(Table3[Result],Table3[Round],T$2,Table3[SI],$A8,Table3[Year],T$1)</f>
        <v>0</v>
      </c>
      <c r="U8" s="7">
        <f>SUMIFS(Table3[Result],Table3[Round],U$2,Table3[SI],$A8,Table3[Year],T$1)</f>
        <v>0</v>
      </c>
      <c r="V8" s="7">
        <f>SUMIFS(Table3[Result],Table3[Round],V$2,Table3[SI],$A8,Table3[Year],T$1)</f>
        <v>0</v>
      </c>
      <c r="W8" s="7">
        <f>SUMIFS(Table3[Result],Table3[Round],W$2,Table3[SI],$A8,Table3[Year],T$1)</f>
        <v>0</v>
      </c>
      <c r="X8" s="7">
        <f>SUMIFS(Table3[Result],Table3[Round],X$2,Table3[SI],$A8,Table3[Year],T$1)</f>
        <v>0</v>
      </c>
      <c r="Y8" s="9">
        <f>SUMIFS(Table3[Result],Table3[SI],$A8,Table3[Year],T$1)</f>
        <v>0</v>
      </c>
    </row>
    <row r="9" spans="1:25" ht="14.25" customHeight="1" x14ac:dyDescent="0.2">
      <c r="A9" s="4" t="s">
        <v>179</v>
      </c>
      <c r="B9" s="6">
        <f>SUMIFS(Table3[Result],Table3[Round],B$2,Table3[SI],$A9,Table3[Year],B$1)</f>
        <v>0</v>
      </c>
      <c r="C9" s="6">
        <f>SUMIFS(Table3[Result],Table3[Round],C$2,Table3[SI],$A9,Table3[Year],B$1)</f>
        <v>0</v>
      </c>
      <c r="D9" s="6">
        <f>SUMIFS(Table3[Result],Table3[Round],D$2,Table3[SI],$A9,Table3[Year],B$1)</f>
        <v>0</v>
      </c>
      <c r="E9" s="6">
        <f>SUMIFS(Table3[Result],Table3[Round],E$2,Table3[SI],$A9,Table3[Year],B$1)</f>
        <v>0</v>
      </c>
      <c r="F9" s="6">
        <f>SUMIFS(Table3[Result],Table3[Round],F$2,Table3[SI],$A9,Table3[Year],B$1)</f>
        <v>0</v>
      </c>
      <c r="G9" s="8">
        <f>SUMIFS(Table3[Result],Table3[SI],$A9,Table3[Year],B$1)</f>
        <v>0</v>
      </c>
      <c r="H9" s="7">
        <f>SUMIFS(Table3[Result],Table3[Round],H$2,Table3[SI],$A9,Table3[Year],H$1)</f>
        <v>0</v>
      </c>
      <c r="I9" s="7">
        <f>SUMIFS(Table3[Result],Table3[Round],I$2,Table3[SI],$A9,Table3[Year],H$1)</f>
        <v>0</v>
      </c>
      <c r="J9" s="7">
        <f>SUMIFS(Table3[Result],Table3[Round],J$2,Table3[SI],$A9,Table3[Year],H$1)</f>
        <v>1</v>
      </c>
      <c r="K9" s="7">
        <f>SUMIFS(Table3[Result],Table3[Round],K$2,Table3[SI],$A9,Table3[Year],H$1)</f>
        <v>0</v>
      </c>
      <c r="L9" s="7">
        <f>SUMIFS(Table3[Result],Table3[Round],L$2,Table3[SI],$A9,Table3[Year],H$1)</f>
        <v>0</v>
      </c>
      <c r="M9" s="9">
        <f>SUMIFS(Table3[Result],Table3[SI],$A9,Table3[Year],H$1)</f>
        <v>1</v>
      </c>
      <c r="N9" s="6">
        <f>SUMIFS(Table3[Result],Table3[Round],N$2,Table3[SI],$A9,Table3[Year],N$1)</f>
        <v>0</v>
      </c>
      <c r="O9" s="6">
        <f>SUMIFS(Table3[Result],Table3[Round],O$2,Table3[SI],$A9,Table3[Year],N$1)</f>
        <v>0</v>
      </c>
      <c r="P9" s="6">
        <f>SUMIFS(Table3[Result],Table3[Round],P$2,Table3[SI],$A9,Table3[Year],N$1)</f>
        <v>1</v>
      </c>
      <c r="Q9" s="6">
        <f>SUMIFS(Table3[Result],Table3[Round],Q$2,Table3[SI],$A9,Table3[Year],N$1)</f>
        <v>9</v>
      </c>
      <c r="R9" s="6">
        <f>SUMIFS(Table3[Result],Table3[Round],R$2,Table3[SI],$A9,Table3[Year],N$1)</f>
        <v>0</v>
      </c>
      <c r="S9" s="8">
        <f>SUMIFS(Table3[Result],Table3[SI],$A9,Table3[Year],N$1)</f>
        <v>10</v>
      </c>
      <c r="T9" s="7">
        <f>SUMIFS(Table3[Result],Table3[Round],T$2,Table3[SI],$A9,Table3[Year],T$1)</f>
        <v>0</v>
      </c>
      <c r="U9" s="7">
        <f>SUMIFS(Table3[Result],Table3[Round],U$2,Table3[SI],$A9,Table3[Year],T$1)</f>
        <v>0</v>
      </c>
      <c r="V9" s="7">
        <f>SUMIFS(Table3[Result],Table3[Round],V$2,Table3[SI],$A9,Table3[Year],T$1)</f>
        <v>0</v>
      </c>
      <c r="W9" s="7">
        <f>SUMIFS(Table3[Result],Table3[Round],W$2,Table3[SI],$A9,Table3[Year],T$1)</f>
        <v>4</v>
      </c>
      <c r="X9" s="7">
        <f>SUMIFS(Table3[Result],Table3[Round],X$2,Table3[SI],$A9,Table3[Year],T$1)</f>
        <v>0</v>
      </c>
      <c r="Y9" s="9">
        <f>SUMIFS(Table3[Result],Table3[SI],$A9,Table3[Year],T$1)</f>
        <v>4</v>
      </c>
    </row>
    <row r="10" spans="1:25" ht="14.25" customHeight="1" x14ac:dyDescent="0.2">
      <c r="A10" s="4" t="s">
        <v>181</v>
      </c>
      <c r="B10" s="6">
        <f>SUMIFS(Table3[Result],Table3[Round],B$2,Table3[SI],$A10,Table3[Year],B$1)</f>
        <v>0</v>
      </c>
      <c r="C10" s="6">
        <f>SUMIFS(Table3[Result],Table3[Round],C$2,Table3[SI],$A10,Table3[Year],B$1)</f>
        <v>0</v>
      </c>
      <c r="D10" s="6">
        <f>SUMIFS(Table3[Result],Table3[Round],D$2,Table3[SI],$A10,Table3[Year],B$1)</f>
        <v>0</v>
      </c>
      <c r="E10" s="6">
        <f>SUMIFS(Table3[Result],Table3[Round],E$2,Table3[SI],$A10,Table3[Year],B$1)</f>
        <v>0</v>
      </c>
      <c r="F10" s="6">
        <f>SUMIFS(Table3[Result],Table3[Round],F$2,Table3[SI],$A10,Table3[Year],B$1)</f>
        <v>0</v>
      </c>
      <c r="G10" s="8">
        <f>SUMIFS(Table3[Result],Table3[SI],$A10,Table3[Year],B$1)</f>
        <v>0</v>
      </c>
      <c r="H10" s="7">
        <f>SUMIFS(Table3[Result],Table3[Round],H$2,Table3[SI],$A10,Table3[Year],H$1)</f>
        <v>0</v>
      </c>
      <c r="I10" s="7">
        <f>SUMIFS(Table3[Result],Table3[Round],I$2,Table3[SI],$A10,Table3[Year],H$1)</f>
        <v>0</v>
      </c>
      <c r="J10" s="7">
        <f>SUMIFS(Table3[Result],Table3[Round],J$2,Table3[SI],$A10,Table3[Year],H$1)</f>
        <v>0</v>
      </c>
      <c r="K10" s="7">
        <f>SUMIFS(Table3[Result],Table3[Round],K$2,Table3[SI],$A10,Table3[Year],H$1)</f>
        <v>0</v>
      </c>
      <c r="L10" s="7">
        <f>SUMIFS(Table3[Result],Table3[Round],L$2,Table3[SI],$A10,Table3[Year],H$1)</f>
        <v>0</v>
      </c>
      <c r="M10" s="9">
        <f>SUMIFS(Table3[Result],Table3[SI],$A10,Table3[Year],H$1)</f>
        <v>0</v>
      </c>
      <c r="N10" s="6">
        <f>SUMIFS(Table3[Result],Table3[Round],N$2,Table3[SI],$A10,Table3[Year],N$1)</f>
        <v>0</v>
      </c>
      <c r="O10" s="6">
        <f>SUMIFS(Table3[Result],Table3[Round],O$2,Table3[SI],$A10,Table3[Year],N$1)</f>
        <v>0</v>
      </c>
      <c r="P10" s="6">
        <f>SUMIFS(Table3[Result],Table3[Round],P$2,Table3[SI],$A10,Table3[Year],N$1)</f>
        <v>0</v>
      </c>
      <c r="Q10" s="6">
        <f>SUMIFS(Table3[Result],Table3[Round],Q$2,Table3[SI],$A10,Table3[Year],N$1)</f>
        <v>0</v>
      </c>
      <c r="R10" s="6">
        <f>SUMIFS(Table3[Result],Table3[Round],R$2,Table3[SI],$A10,Table3[Year],N$1)</f>
        <v>0</v>
      </c>
      <c r="S10" s="8">
        <f>SUMIFS(Table3[Result],Table3[SI],$A10,Table3[Year],N$1)</f>
        <v>0</v>
      </c>
      <c r="T10" s="7">
        <f>SUMIFS(Table3[Result],Table3[Round],T$2,Table3[SI],$A10,Table3[Year],T$1)</f>
        <v>0</v>
      </c>
      <c r="U10" s="7">
        <f>SUMIFS(Table3[Result],Table3[Round],U$2,Table3[SI],$A10,Table3[Year],T$1)</f>
        <v>0</v>
      </c>
      <c r="V10" s="7">
        <f>SUMIFS(Table3[Result],Table3[Round],V$2,Table3[SI],$A10,Table3[Year],T$1)</f>
        <v>0</v>
      </c>
      <c r="W10" s="7">
        <f>SUMIFS(Table3[Result],Table3[Round],W$2,Table3[SI],$A10,Table3[Year],T$1)</f>
        <v>0</v>
      </c>
      <c r="X10" s="7">
        <f>SUMIFS(Table3[Result],Table3[Round],X$2,Table3[SI],$A10,Table3[Year],T$1)</f>
        <v>0</v>
      </c>
      <c r="Y10" s="9">
        <f>SUMIFS(Table3[Result],Table3[SI],$A10,Table3[Year],T$1)</f>
        <v>0</v>
      </c>
    </row>
    <row r="11" spans="1:25" ht="14.25" customHeight="1" x14ac:dyDescent="0.2">
      <c r="A11" s="4" t="s">
        <v>183</v>
      </c>
      <c r="B11" s="6">
        <f>SUMIFS(Table3[Result],Table3[Round],B$2,Table3[SI],$A11,Table3[Year],B$1)</f>
        <v>0</v>
      </c>
      <c r="C11" s="6">
        <f>SUMIFS(Table3[Result],Table3[Round],C$2,Table3[SI],$A11,Table3[Year],B$1)</f>
        <v>0</v>
      </c>
      <c r="D11" s="6">
        <f>SUMIFS(Table3[Result],Table3[Round],D$2,Table3[SI],$A11,Table3[Year],B$1)</f>
        <v>0</v>
      </c>
      <c r="E11" s="6">
        <f>SUMIFS(Table3[Result],Table3[Round],E$2,Table3[SI],$A11,Table3[Year],B$1)</f>
        <v>0</v>
      </c>
      <c r="F11" s="6">
        <f>SUMIFS(Table3[Result],Table3[Round],F$2,Table3[SI],$A11,Table3[Year],B$1)</f>
        <v>0</v>
      </c>
      <c r="G11" s="8">
        <f>SUMIFS(Table3[Result],Table3[SI],$A11,Table3[Year],B$1)</f>
        <v>0</v>
      </c>
      <c r="H11" s="7">
        <f>SUMIFS(Table3[Result],Table3[Round],H$2,Table3[SI],$A11,Table3[Year],H$1)</f>
        <v>0</v>
      </c>
      <c r="I11" s="7">
        <f>SUMIFS(Table3[Result],Table3[Round],I$2,Table3[SI],$A11,Table3[Year],H$1)</f>
        <v>0</v>
      </c>
      <c r="J11" s="7">
        <f>SUMIFS(Table3[Result],Table3[Round],J$2,Table3[SI],$A11,Table3[Year],H$1)</f>
        <v>0</v>
      </c>
      <c r="K11" s="7">
        <f>SUMIFS(Table3[Result],Table3[Round],K$2,Table3[SI],$A11,Table3[Year],H$1)</f>
        <v>0</v>
      </c>
      <c r="L11" s="7">
        <f>SUMIFS(Table3[Result],Table3[Round],L$2,Table3[SI],$A11,Table3[Year],H$1)</f>
        <v>0</v>
      </c>
      <c r="M11" s="9">
        <f>SUMIFS(Table3[Result],Table3[SI],$A11,Table3[Year],H$1)</f>
        <v>0</v>
      </c>
      <c r="N11" s="6">
        <f>SUMIFS(Table3[Result],Table3[Round],N$2,Table3[SI],$A11,Table3[Year],N$1)</f>
        <v>0</v>
      </c>
      <c r="O11" s="6">
        <f>SUMIFS(Table3[Result],Table3[Round],O$2,Table3[SI],$A11,Table3[Year],N$1)</f>
        <v>0</v>
      </c>
      <c r="P11" s="6">
        <f>SUMIFS(Table3[Result],Table3[Round],P$2,Table3[SI],$A11,Table3[Year],N$1)</f>
        <v>0</v>
      </c>
      <c r="Q11" s="6">
        <f>SUMIFS(Table3[Result],Table3[Round],Q$2,Table3[SI],$A11,Table3[Year],N$1)</f>
        <v>0</v>
      </c>
      <c r="R11" s="6">
        <f>SUMIFS(Table3[Result],Table3[Round],R$2,Table3[SI],$A11,Table3[Year],N$1)</f>
        <v>0</v>
      </c>
      <c r="S11" s="8">
        <f>SUMIFS(Table3[Result],Table3[SI],$A11,Table3[Year],N$1)</f>
        <v>0</v>
      </c>
      <c r="T11" s="7">
        <f>SUMIFS(Table3[Result],Table3[Round],T$2,Table3[SI],$A11,Table3[Year],T$1)</f>
        <v>0</v>
      </c>
      <c r="U11" s="7">
        <f>SUMIFS(Table3[Result],Table3[Round],U$2,Table3[SI],$A11,Table3[Year],T$1)</f>
        <v>0</v>
      </c>
      <c r="V11" s="7">
        <f>SUMIFS(Table3[Result],Table3[Round],V$2,Table3[SI],$A11,Table3[Year],T$1)</f>
        <v>0</v>
      </c>
      <c r="W11" s="7">
        <f>SUMIFS(Table3[Result],Table3[Round],W$2,Table3[SI],$A11,Table3[Year],T$1)</f>
        <v>0</v>
      </c>
      <c r="X11" s="7">
        <f>SUMIFS(Table3[Result],Table3[Round],X$2,Table3[SI],$A11,Table3[Year],T$1)</f>
        <v>0</v>
      </c>
      <c r="Y11" s="9">
        <f>SUMIFS(Table3[Result],Table3[SI],$A11,Table3[Year],T$1)</f>
        <v>0</v>
      </c>
    </row>
    <row r="12" spans="1:25" ht="14.25" customHeight="1" x14ac:dyDescent="0.2">
      <c r="A12" s="4" t="s">
        <v>185</v>
      </c>
      <c r="B12" s="6">
        <f>SUMIFS(Table3[Result],Table3[Round],B$2,Table3[SI],$A12,Table3[Year],B$1)</f>
        <v>0</v>
      </c>
      <c r="C12" s="6">
        <f>SUMIFS(Table3[Result],Table3[Round],C$2,Table3[SI],$A12,Table3[Year],B$1)</f>
        <v>0</v>
      </c>
      <c r="D12" s="6">
        <f>SUMIFS(Table3[Result],Table3[Round],D$2,Table3[SI],$A12,Table3[Year],B$1)</f>
        <v>0</v>
      </c>
      <c r="E12" s="6">
        <f>SUMIFS(Table3[Result],Table3[Round],E$2,Table3[SI],$A12,Table3[Year],B$1)</f>
        <v>0</v>
      </c>
      <c r="F12" s="6">
        <f>SUMIFS(Table3[Result],Table3[Round],F$2,Table3[SI],$A12,Table3[Year],B$1)</f>
        <v>0</v>
      </c>
      <c r="G12" s="8">
        <f>SUMIFS(Table3[Result],Table3[SI],$A12,Table3[Year],B$1)</f>
        <v>0</v>
      </c>
      <c r="H12" s="7">
        <f>SUMIFS(Table3[Result],Table3[Round],H$2,Table3[SI],$A12,Table3[Year],H$1)</f>
        <v>0</v>
      </c>
      <c r="I12" s="7">
        <f>SUMIFS(Table3[Result],Table3[Round],I$2,Table3[SI],$A12,Table3[Year],H$1)</f>
        <v>0</v>
      </c>
      <c r="J12" s="7">
        <f>SUMIFS(Table3[Result],Table3[Round],J$2,Table3[SI],$A12,Table3[Year],H$1)</f>
        <v>0</v>
      </c>
      <c r="K12" s="7">
        <f>SUMIFS(Table3[Result],Table3[Round],K$2,Table3[SI],$A12,Table3[Year],H$1)</f>
        <v>0</v>
      </c>
      <c r="L12" s="7">
        <f>SUMIFS(Table3[Result],Table3[Round],L$2,Table3[SI],$A12,Table3[Year],H$1)</f>
        <v>0</v>
      </c>
      <c r="M12" s="9">
        <f>SUMIFS(Table3[Result],Table3[SI],$A12,Table3[Year],H$1)</f>
        <v>0</v>
      </c>
      <c r="N12" s="6">
        <f>SUMIFS(Table3[Result],Table3[Round],N$2,Table3[SI],$A12,Table3[Year],N$1)</f>
        <v>0</v>
      </c>
      <c r="O12" s="6">
        <f>SUMIFS(Table3[Result],Table3[Round],O$2,Table3[SI],$A12,Table3[Year],N$1)</f>
        <v>0</v>
      </c>
      <c r="P12" s="6">
        <f>SUMIFS(Table3[Result],Table3[Round],P$2,Table3[SI],$A12,Table3[Year],N$1)</f>
        <v>0</v>
      </c>
      <c r="Q12" s="6">
        <f>SUMIFS(Table3[Result],Table3[Round],Q$2,Table3[SI],$A12,Table3[Year],N$1)</f>
        <v>0</v>
      </c>
      <c r="R12" s="6">
        <f>SUMIFS(Table3[Result],Table3[Round],R$2,Table3[SI],$A12,Table3[Year],N$1)</f>
        <v>0</v>
      </c>
      <c r="S12" s="8">
        <f>SUMIFS(Table3[Result],Table3[SI],$A12,Table3[Year],N$1)</f>
        <v>0</v>
      </c>
      <c r="T12" s="7">
        <f>SUMIFS(Table3[Result],Table3[Round],T$2,Table3[SI],$A12,Table3[Year],T$1)</f>
        <v>0</v>
      </c>
      <c r="U12" s="7">
        <f>SUMIFS(Table3[Result],Table3[Round],U$2,Table3[SI],$A12,Table3[Year],T$1)</f>
        <v>0</v>
      </c>
      <c r="V12" s="7">
        <f>SUMIFS(Table3[Result],Table3[Round],V$2,Table3[SI],$A12,Table3[Year],T$1)</f>
        <v>0</v>
      </c>
      <c r="W12" s="7">
        <f>SUMIFS(Table3[Result],Table3[Round],W$2,Table3[SI],$A12,Table3[Year],T$1)</f>
        <v>0</v>
      </c>
      <c r="X12" s="7">
        <f>SUMIFS(Table3[Result],Table3[Round],X$2,Table3[SI],$A12,Table3[Year],T$1)</f>
        <v>0</v>
      </c>
      <c r="Y12" s="9">
        <f>SUMIFS(Table3[Result],Table3[SI],$A12,Table3[Year],T$1)</f>
        <v>0</v>
      </c>
    </row>
    <row r="13" spans="1:25" ht="14.25" customHeight="1" x14ac:dyDescent="0.2">
      <c r="A13" s="4"/>
      <c r="B13" s="6"/>
      <c r="C13" s="6"/>
      <c r="D13" s="6"/>
      <c r="E13" s="6"/>
      <c r="F13" s="6"/>
      <c r="G13" s="8"/>
      <c r="H13" s="7"/>
      <c r="I13" s="7"/>
      <c r="J13" s="7"/>
      <c r="K13" s="7"/>
      <c r="L13" s="7"/>
      <c r="M13" s="9"/>
      <c r="N13" s="6"/>
      <c r="O13" s="6"/>
      <c r="P13" s="6"/>
      <c r="Q13" s="6"/>
      <c r="R13" s="6"/>
      <c r="S13" s="8"/>
      <c r="T13" s="7"/>
      <c r="U13" s="7"/>
      <c r="V13" s="7"/>
      <c r="W13" s="7"/>
      <c r="X13" s="7"/>
      <c r="Y13" s="9"/>
    </row>
    <row r="14" spans="1:25" ht="14.25" customHeight="1" x14ac:dyDescent="0.2">
      <c r="A14" s="4" t="s">
        <v>188</v>
      </c>
      <c r="B14" s="6">
        <f>SUMIFS(Table3[Result],Table3[Round],B$2,Table3[SI],$A14,Table3[Year],B$1)</f>
        <v>0</v>
      </c>
      <c r="C14" s="6">
        <f>SUMIFS(Table3[Result],Table3[Round],C$2,Table3[SI],$A14,Table3[Year],B$1)</f>
        <v>0</v>
      </c>
      <c r="D14" s="6">
        <f>SUMIFS(Table3[Result],Table3[Round],D$2,Table3[SI],$A14,Table3[Year],B$1)</f>
        <v>0</v>
      </c>
      <c r="E14" s="6">
        <f>SUMIFS(Table3[Result],Table3[Round],E$2,Table3[SI],$A14,Table3[Year],B$1)</f>
        <v>0</v>
      </c>
      <c r="F14" s="6">
        <f>SUMIFS(Table3[Result],Table3[Round],F$2,Table3[SI],$A14,Table3[Year],B$1)</f>
        <v>0</v>
      </c>
      <c r="G14" s="8">
        <f>SUMIFS(Table3[Result],Table3[SI],$A14,Table3[Year],B$1)</f>
        <v>0</v>
      </c>
      <c r="H14" s="7">
        <f>SUMIFS(Table3[Result],Table3[Round],H$2,Table3[SI],$A14,Table3[Year],H$1)</f>
        <v>0</v>
      </c>
      <c r="I14" s="7">
        <f>SUMIFS(Table3[Result],Table3[Round],I$2,Table3[SI],$A14,Table3[Year],H$1)</f>
        <v>0</v>
      </c>
      <c r="J14" s="7">
        <f>SUMIFS(Table3[Result],Table3[Round],J$2,Table3[SI],$A14,Table3[Year],H$1)</f>
        <v>0</v>
      </c>
      <c r="K14" s="7">
        <f>SUMIFS(Table3[Result],Table3[Round],K$2,Table3[SI],$A14,Table3[Year],H$1)</f>
        <v>0</v>
      </c>
      <c r="L14" s="7">
        <f>SUMIFS(Table3[Result],Table3[Round],L$2,Table3[SI],$A14,Table3[Year],H$1)</f>
        <v>0</v>
      </c>
      <c r="M14" s="9">
        <f>SUMIFS(Table3[Result],Table3[SI],$A14,Table3[Year],H$1)</f>
        <v>0</v>
      </c>
      <c r="N14" s="6">
        <f>SUMIFS(Table3[Result],Table3[Round],N$2,Table3[SI],$A14,Table3[Year],N$1)</f>
        <v>0</v>
      </c>
      <c r="O14" s="6">
        <f>SUMIFS(Table3[Result],Table3[Round],O$2,Table3[SI],$A14,Table3[Year],N$1)</f>
        <v>5</v>
      </c>
      <c r="P14" s="6">
        <f>SUMIFS(Table3[Result],Table3[Round],P$2,Table3[SI],$A14,Table3[Year],N$1)</f>
        <v>1</v>
      </c>
      <c r="Q14" s="6">
        <f>SUMIFS(Table3[Result],Table3[Round],Q$2,Table3[SI],$A14,Table3[Year],N$1)</f>
        <v>1</v>
      </c>
      <c r="R14" s="6">
        <f>SUMIFS(Table3[Result],Table3[Round],R$2,Table3[SI],$A14,Table3[Year],N$1)</f>
        <v>0</v>
      </c>
      <c r="S14" s="8">
        <f>SUMIFS(Table3[Result],Table3[SI],$A14,Table3[Year],N$1)</f>
        <v>7</v>
      </c>
      <c r="T14" s="7">
        <f>SUMIFS(Table3[Result],Table3[Round],T$2,Table3[SI],$A14,Table3[Year],T$1)</f>
        <v>0</v>
      </c>
      <c r="U14" s="7">
        <f>SUMIFS(Table3[Result],Table3[Round],U$2,Table3[SI],$A14,Table3[Year],T$1)</f>
        <v>0</v>
      </c>
      <c r="V14" s="7">
        <f>SUMIFS(Table3[Result],Table3[Round],V$2,Table3[SI],$A14,Table3[Year],T$1)</f>
        <v>9</v>
      </c>
      <c r="W14" s="7">
        <f>SUMIFS(Table3[Result],Table3[Round],W$2,Table3[SI],$A14,Table3[Year],T$1)</f>
        <v>2</v>
      </c>
      <c r="X14" s="7">
        <f>SUMIFS(Table3[Result],Table3[Round],X$2,Table3[SI],$A14,Table3[Year],T$1)</f>
        <v>0</v>
      </c>
      <c r="Y14" s="9">
        <f>SUMIFS(Table3[Result],Table3[SI],$A14,Table3[Year],T$1)</f>
        <v>11</v>
      </c>
    </row>
    <row r="15" spans="1:25" ht="14.25" customHeight="1" x14ac:dyDescent="0.2">
      <c r="A15" s="4" t="s">
        <v>190</v>
      </c>
      <c r="B15" s="6">
        <f>SUMIFS(Table3[Result],Table3[Round],B$2,Table3[SI],$A15,Table3[Year],B$1)</f>
        <v>0</v>
      </c>
      <c r="C15" s="6">
        <f>SUMIFS(Table3[Result],Table3[Round],C$2,Table3[SI],$A15,Table3[Year],B$1)</f>
        <v>0</v>
      </c>
      <c r="D15" s="6">
        <f>SUMIFS(Table3[Result],Table3[Round],D$2,Table3[SI],$A15,Table3[Year],B$1)</f>
        <v>0</v>
      </c>
      <c r="E15" s="6">
        <f>SUMIFS(Table3[Result],Table3[Round],E$2,Table3[SI],$A15,Table3[Year],B$1)</f>
        <v>0</v>
      </c>
      <c r="F15" s="6">
        <f>SUMIFS(Table3[Result],Table3[Round],F$2,Table3[SI],$A15,Table3[Year],B$1)</f>
        <v>0</v>
      </c>
      <c r="G15" s="8">
        <f>SUMIFS(Table3[Result],Table3[SI],$A15,Table3[Year],B$1)</f>
        <v>0</v>
      </c>
      <c r="H15" s="7">
        <f>SUMIFS(Table3[Result],Table3[Round],H$2,Table3[SI],$A15,Table3[Year],H$1)</f>
        <v>0</v>
      </c>
      <c r="I15" s="7">
        <f>SUMIFS(Table3[Result],Table3[Round],I$2,Table3[SI],$A15,Table3[Year],H$1)</f>
        <v>0</v>
      </c>
      <c r="J15" s="7">
        <f>SUMIFS(Table3[Result],Table3[Round],J$2,Table3[SI],$A15,Table3[Year],H$1)</f>
        <v>0</v>
      </c>
      <c r="K15" s="7">
        <f>SUMIFS(Table3[Result],Table3[Round],K$2,Table3[SI],$A15,Table3[Year],H$1)</f>
        <v>0</v>
      </c>
      <c r="L15" s="7">
        <f>SUMIFS(Table3[Result],Table3[Round],L$2,Table3[SI],$A15,Table3[Year],H$1)</f>
        <v>0</v>
      </c>
      <c r="M15" s="9">
        <f>SUMIFS(Table3[Result],Table3[SI],$A15,Table3[Year],H$1)</f>
        <v>0</v>
      </c>
      <c r="N15" s="6">
        <f>SUMIFS(Table3[Result],Table3[Round],N$2,Table3[SI],$A15,Table3[Year],N$1)</f>
        <v>0</v>
      </c>
      <c r="O15" s="6">
        <f>SUMIFS(Table3[Result],Table3[Round],O$2,Table3[SI],$A15,Table3[Year],N$1)</f>
        <v>0</v>
      </c>
      <c r="P15" s="6">
        <f>SUMIFS(Table3[Result],Table3[Round],P$2,Table3[SI],$A15,Table3[Year],N$1)</f>
        <v>0</v>
      </c>
      <c r="Q15" s="6">
        <f>SUMIFS(Table3[Result],Table3[Round],Q$2,Table3[SI],$A15,Table3[Year],N$1)</f>
        <v>1</v>
      </c>
      <c r="R15" s="6">
        <f>SUMIFS(Table3[Result],Table3[Round],R$2,Table3[SI],$A15,Table3[Year],N$1)</f>
        <v>0</v>
      </c>
      <c r="S15" s="8">
        <f>SUMIFS(Table3[Result],Table3[SI],$A15,Table3[Year],N$1)</f>
        <v>1</v>
      </c>
      <c r="T15" s="7">
        <f>SUMIFS(Table3[Result],Table3[Round],T$2,Table3[SI],$A15,Table3[Year],T$1)</f>
        <v>0</v>
      </c>
      <c r="U15" s="7">
        <f>SUMIFS(Table3[Result],Table3[Round],U$2,Table3[SI],$A15,Table3[Year],T$1)</f>
        <v>0</v>
      </c>
      <c r="V15" s="7">
        <f>SUMIFS(Table3[Result],Table3[Round],V$2,Table3[SI],$A15,Table3[Year],T$1)</f>
        <v>1</v>
      </c>
      <c r="W15" s="7">
        <f>SUMIFS(Table3[Result],Table3[Round],W$2,Table3[SI],$A15,Table3[Year],T$1)</f>
        <v>0</v>
      </c>
      <c r="X15" s="7">
        <f>SUMIFS(Table3[Result],Table3[Round],X$2,Table3[SI],$A15,Table3[Year],T$1)</f>
        <v>0</v>
      </c>
      <c r="Y15" s="9">
        <f>SUMIFS(Table3[Result],Table3[SI],$A15,Table3[Year],T$1)</f>
        <v>1</v>
      </c>
    </row>
    <row r="16" spans="1:25" ht="14.25" customHeight="1" x14ac:dyDescent="0.2">
      <c r="A16" s="4" t="s">
        <v>192</v>
      </c>
      <c r="B16" s="6">
        <f>SUMIFS(Table3[Result],Table3[Round],B$2,Table3[SI],$A16,Table3[Year],B$1)</f>
        <v>0</v>
      </c>
      <c r="C16" s="6">
        <f>SUMIFS(Table3[Result],Table3[Round],C$2,Table3[SI],$A16,Table3[Year],B$1)</f>
        <v>0</v>
      </c>
      <c r="D16" s="6">
        <f>SUMIFS(Table3[Result],Table3[Round],D$2,Table3[SI],$A16,Table3[Year],B$1)</f>
        <v>0</v>
      </c>
      <c r="E16" s="6">
        <f>SUMIFS(Table3[Result],Table3[Round],E$2,Table3[SI],$A16,Table3[Year],B$1)</f>
        <v>0</v>
      </c>
      <c r="F16" s="6">
        <f>SUMIFS(Table3[Result],Table3[Round],F$2,Table3[SI],$A16,Table3[Year],B$1)</f>
        <v>0</v>
      </c>
      <c r="G16" s="8">
        <f>SUMIFS(Table3[Result],Table3[SI],$A16,Table3[Year],B$1)</f>
        <v>0</v>
      </c>
      <c r="H16" s="7">
        <f>SUMIFS(Table3[Result],Table3[Round],H$2,Table3[SI],$A16,Table3[Year],H$1)</f>
        <v>0</v>
      </c>
      <c r="I16" s="7">
        <f>SUMIFS(Table3[Result],Table3[Round],I$2,Table3[SI],$A16,Table3[Year],H$1)</f>
        <v>0</v>
      </c>
      <c r="J16" s="7">
        <f>SUMIFS(Table3[Result],Table3[Round],J$2,Table3[SI],$A16,Table3[Year],H$1)</f>
        <v>0</v>
      </c>
      <c r="K16" s="7">
        <f>SUMIFS(Table3[Result],Table3[Round],K$2,Table3[SI],$A16,Table3[Year],H$1)</f>
        <v>0</v>
      </c>
      <c r="L16" s="7">
        <f>SUMIFS(Table3[Result],Table3[Round],L$2,Table3[SI],$A16,Table3[Year],H$1)</f>
        <v>0</v>
      </c>
      <c r="M16" s="9">
        <f>SUMIFS(Table3[Result],Table3[SI],$A16,Table3[Year],H$1)</f>
        <v>0</v>
      </c>
      <c r="N16" s="6">
        <f>SUMIFS(Table3[Result],Table3[Round],N$2,Table3[SI],$A16,Table3[Year],N$1)</f>
        <v>0</v>
      </c>
      <c r="O16" s="6">
        <f>SUMIFS(Table3[Result],Table3[Round],O$2,Table3[SI],$A16,Table3[Year],N$1)</f>
        <v>0</v>
      </c>
      <c r="P16" s="6">
        <f>SUMIFS(Table3[Result],Table3[Round],P$2,Table3[SI],$A16,Table3[Year],N$1)</f>
        <v>10</v>
      </c>
      <c r="Q16" s="6">
        <f>SUMIFS(Table3[Result],Table3[Round],Q$2,Table3[SI],$A16,Table3[Year],N$1)</f>
        <v>0</v>
      </c>
      <c r="R16" s="6">
        <f>SUMIFS(Table3[Result],Table3[Round],R$2,Table3[SI],$A16,Table3[Year],N$1)</f>
        <v>0</v>
      </c>
      <c r="S16" s="8">
        <f>SUMIFS(Table3[Result],Table3[SI],$A16,Table3[Year],N$1)</f>
        <v>10</v>
      </c>
      <c r="T16" s="7">
        <f>SUMIFS(Table3[Result],Table3[Round],T$2,Table3[SI],$A16,Table3[Year],T$1)</f>
        <v>0</v>
      </c>
      <c r="U16" s="7">
        <f>SUMIFS(Table3[Result],Table3[Round],U$2,Table3[SI],$A16,Table3[Year],T$1)</f>
        <v>0</v>
      </c>
      <c r="V16" s="7">
        <f>SUMIFS(Table3[Result],Table3[Round],V$2,Table3[SI],$A16,Table3[Year],T$1)</f>
        <v>0</v>
      </c>
      <c r="W16" s="7">
        <f>SUMIFS(Table3[Result],Table3[Round],W$2,Table3[SI],$A16,Table3[Year],T$1)</f>
        <v>0</v>
      </c>
      <c r="X16" s="7">
        <f>SUMIFS(Table3[Result],Table3[Round],X$2,Table3[SI],$A16,Table3[Year],T$1)</f>
        <v>0</v>
      </c>
      <c r="Y16" s="9">
        <f>SUMIFS(Table3[Result],Table3[SI],$A16,Table3[Year],T$1)</f>
        <v>0</v>
      </c>
    </row>
    <row r="17" spans="1:25" ht="14.25" customHeight="1" x14ac:dyDescent="0.2">
      <c r="A17" s="4" t="s">
        <v>195</v>
      </c>
      <c r="B17" s="6">
        <f>SUMIFS(Table3[Result],Table3[Round],B$2,Table3[SI],$A17,Table3[Year],B$1)</f>
        <v>0</v>
      </c>
      <c r="C17" s="6">
        <f>SUMIFS(Table3[Result],Table3[Round],C$2,Table3[SI],$A17,Table3[Year],B$1)</f>
        <v>0</v>
      </c>
      <c r="D17" s="6">
        <f>SUMIFS(Table3[Result],Table3[Round],D$2,Table3[SI],$A17,Table3[Year],B$1)</f>
        <v>0</v>
      </c>
      <c r="E17" s="6">
        <f>SUMIFS(Table3[Result],Table3[Round],E$2,Table3[SI],$A17,Table3[Year],B$1)</f>
        <v>0</v>
      </c>
      <c r="F17" s="6">
        <f>SUMIFS(Table3[Result],Table3[Round],F$2,Table3[SI],$A17,Table3[Year],B$1)</f>
        <v>0</v>
      </c>
      <c r="G17" s="8">
        <f>SUMIFS(Table3[Result],Table3[SI],$A17,Table3[Year],B$1)</f>
        <v>0</v>
      </c>
      <c r="H17" s="7">
        <f>SUMIFS(Table3[Result],Table3[Round],H$2,Table3[SI],$A17,Table3[Year],H$1)</f>
        <v>0</v>
      </c>
      <c r="I17" s="7">
        <f>SUMIFS(Table3[Result],Table3[Round],I$2,Table3[SI],$A17,Table3[Year],H$1)</f>
        <v>0</v>
      </c>
      <c r="J17" s="7">
        <f>SUMIFS(Table3[Result],Table3[Round],J$2,Table3[SI],$A17,Table3[Year],H$1)</f>
        <v>0</v>
      </c>
      <c r="K17" s="7">
        <f>SUMIFS(Table3[Result],Table3[Round],K$2,Table3[SI],$A17,Table3[Year],H$1)</f>
        <v>0</v>
      </c>
      <c r="L17" s="7">
        <f>SUMIFS(Table3[Result],Table3[Round],L$2,Table3[SI],$A17,Table3[Year],H$1)</f>
        <v>0</v>
      </c>
      <c r="M17" s="9">
        <f>SUMIFS(Table3[Result],Table3[SI],$A17,Table3[Year],H$1)</f>
        <v>0</v>
      </c>
      <c r="N17" s="6">
        <f>SUMIFS(Table3[Result],Table3[Round],N$2,Table3[SI],$A17,Table3[Year],N$1)</f>
        <v>0</v>
      </c>
      <c r="O17" s="6">
        <f>SUMIFS(Table3[Result],Table3[Round],O$2,Table3[SI],$A17,Table3[Year],N$1)</f>
        <v>0</v>
      </c>
      <c r="P17" s="6">
        <f>SUMIFS(Table3[Result],Table3[Round],P$2,Table3[SI],$A17,Table3[Year],N$1)</f>
        <v>0</v>
      </c>
      <c r="Q17" s="6">
        <f>SUMIFS(Table3[Result],Table3[Round],Q$2,Table3[SI],$A17,Table3[Year],N$1)</f>
        <v>0</v>
      </c>
      <c r="R17" s="6">
        <f>SUMIFS(Table3[Result],Table3[Round],R$2,Table3[SI],$A17,Table3[Year],N$1)</f>
        <v>0</v>
      </c>
      <c r="S17" s="8">
        <f>SUMIFS(Table3[Result],Table3[SI],$A17,Table3[Year],N$1)</f>
        <v>0</v>
      </c>
      <c r="T17" s="7">
        <f>SUMIFS(Table3[Result],Table3[Round],T$2,Table3[SI],$A17,Table3[Year],T$1)</f>
        <v>0</v>
      </c>
      <c r="U17" s="7">
        <f>SUMIFS(Table3[Result],Table3[Round],U$2,Table3[SI],$A17,Table3[Year],T$1)</f>
        <v>0</v>
      </c>
      <c r="V17" s="7">
        <f>SUMIFS(Table3[Result],Table3[Round],V$2,Table3[SI],$A17,Table3[Year],T$1)</f>
        <v>0</v>
      </c>
      <c r="W17" s="7">
        <f>SUMIFS(Table3[Result],Table3[Round],W$2,Table3[SI],$A17,Table3[Year],T$1)</f>
        <v>0</v>
      </c>
      <c r="X17" s="7">
        <f>SUMIFS(Table3[Result],Table3[Round],X$2,Table3[SI],$A17,Table3[Year],T$1)</f>
        <v>0</v>
      </c>
      <c r="Y17" s="9">
        <f>SUMIFS(Table3[Result],Table3[SI],$A17,Table3[Year],T$1)</f>
        <v>0</v>
      </c>
    </row>
    <row r="18" spans="1:25" ht="14.25" customHeight="1" x14ac:dyDescent="0.2">
      <c r="A18" s="4" t="s">
        <v>197</v>
      </c>
      <c r="B18" s="6">
        <f>SUMIFS(Table3[Result],Table3[Round],B$2,Table3[SI],$A18,Table3[Year],B$1)</f>
        <v>0</v>
      </c>
      <c r="C18" s="6">
        <f>SUMIFS(Table3[Result],Table3[Round],C$2,Table3[SI],$A18,Table3[Year],B$1)</f>
        <v>0</v>
      </c>
      <c r="D18" s="6">
        <f>SUMIFS(Table3[Result],Table3[Round],D$2,Table3[SI],$A18,Table3[Year],B$1)</f>
        <v>0</v>
      </c>
      <c r="E18" s="6">
        <f>SUMIFS(Table3[Result],Table3[Round],E$2,Table3[SI],$A18,Table3[Year],B$1)</f>
        <v>0</v>
      </c>
      <c r="F18" s="6">
        <f>SUMIFS(Table3[Result],Table3[Round],F$2,Table3[SI],$A18,Table3[Year],B$1)</f>
        <v>0</v>
      </c>
      <c r="G18" s="8">
        <f>SUMIFS(Table3[Result],Table3[SI],$A18,Table3[Year],B$1)</f>
        <v>0</v>
      </c>
      <c r="H18" s="7">
        <f>SUMIFS(Table3[Result],Table3[Round],H$2,Table3[SI],$A18,Table3[Year],H$1)</f>
        <v>0</v>
      </c>
      <c r="I18" s="7">
        <f>SUMIFS(Table3[Result],Table3[Round],I$2,Table3[SI],$A18,Table3[Year],H$1)</f>
        <v>0</v>
      </c>
      <c r="J18" s="7">
        <f>SUMIFS(Table3[Result],Table3[Round],J$2,Table3[SI],$A18,Table3[Year],H$1)</f>
        <v>0</v>
      </c>
      <c r="K18" s="7">
        <f>SUMIFS(Table3[Result],Table3[Round],K$2,Table3[SI],$A18,Table3[Year],H$1)</f>
        <v>0</v>
      </c>
      <c r="L18" s="7">
        <f>SUMIFS(Table3[Result],Table3[Round],L$2,Table3[SI],$A18,Table3[Year],H$1)</f>
        <v>0</v>
      </c>
      <c r="M18" s="9">
        <f>SUMIFS(Table3[Result],Table3[SI],$A18,Table3[Year],H$1)</f>
        <v>0</v>
      </c>
      <c r="N18" s="6">
        <f>SUMIFS(Table3[Result],Table3[Round],N$2,Table3[SI],$A18,Table3[Year],N$1)</f>
        <v>0</v>
      </c>
      <c r="O18" s="6">
        <f>SUMIFS(Table3[Result],Table3[Round],O$2,Table3[SI],$A18,Table3[Year],N$1)</f>
        <v>0</v>
      </c>
      <c r="P18" s="6">
        <f>SUMIFS(Table3[Result],Table3[Round],P$2,Table3[SI],$A18,Table3[Year],N$1)</f>
        <v>6</v>
      </c>
      <c r="Q18" s="6">
        <f>SUMIFS(Table3[Result],Table3[Round],Q$2,Table3[SI],$A18,Table3[Year],N$1)</f>
        <v>16</v>
      </c>
      <c r="R18" s="6">
        <f>SUMIFS(Table3[Result],Table3[Round],R$2,Table3[SI],$A18,Table3[Year],N$1)</f>
        <v>0</v>
      </c>
      <c r="S18" s="8">
        <f>SUMIFS(Table3[Result],Table3[SI],$A18,Table3[Year],N$1)</f>
        <v>22</v>
      </c>
      <c r="T18" s="7">
        <f>SUMIFS(Table3[Result],Table3[Round],T$2,Table3[SI],$A18,Table3[Year],T$1)</f>
        <v>0</v>
      </c>
      <c r="U18" s="7">
        <f>SUMIFS(Table3[Result],Table3[Round],U$2,Table3[SI],$A18,Table3[Year],T$1)</f>
        <v>0</v>
      </c>
      <c r="V18" s="7">
        <f>SUMIFS(Table3[Result],Table3[Round],V$2,Table3[SI],$A18,Table3[Year],T$1)</f>
        <v>0</v>
      </c>
      <c r="W18" s="7">
        <f>SUMIFS(Table3[Result],Table3[Round],W$2,Table3[SI],$A18,Table3[Year],T$1)</f>
        <v>31</v>
      </c>
      <c r="X18" s="7">
        <f>SUMIFS(Table3[Result],Table3[Round],X$2,Table3[SI],$A18,Table3[Year],T$1)</f>
        <v>0</v>
      </c>
      <c r="Y18" s="9">
        <f>SUMIFS(Table3[Result],Table3[SI],$A18,Table3[Year],T$1)</f>
        <v>31</v>
      </c>
    </row>
    <row r="19" spans="1:25" ht="14.25" customHeight="1" x14ac:dyDescent="0.2">
      <c r="A19" s="4" t="s">
        <v>199</v>
      </c>
      <c r="B19" s="6">
        <f>SUMIFS(Table3[Result],Table3[Round],B$2,Table3[SI],$A19,Table3[Year],B$1)</f>
        <v>0</v>
      </c>
      <c r="C19" s="6">
        <f>SUMIFS(Table3[Result],Table3[Round],C$2,Table3[SI],$A19,Table3[Year],B$1)</f>
        <v>0</v>
      </c>
      <c r="D19" s="6">
        <f>SUMIFS(Table3[Result],Table3[Round],D$2,Table3[SI],$A19,Table3[Year],B$1)</f>
        <v>0</v>
      </c>
      <c r="E19" s="6">
        <f>SUMIFS(Table3[Result],Table3[Round],E$2,Table3[SI],$A19,Table3[Year],B$1)</f>
        <v>0</v>
      </c>
      <c r="F19" s="6">
        <f>SUMIFS(Table3[Result],Table3[Round],F$2,Table3[SI],$A19,Table3[Year],B$1)</f>
        <v>0</v>
      </c>
      <c r="G19" s="8">
        <f>SUMIFS(Table3[Result],Table3[SI],$A19,Table3[Year],B$1)</f>
        <v>0</v>
      </c>
      <c r="H19" s="7">
        <f>SUMIFS(Table3[Result],Table3[Round],H$2,Table3[SI],$A19,Table3[Year],H$1)</f>
        <v>0</v>
      </c>
      <c r="I19" s="7">
        <f>SUMIFS(Table3[Result],Table3[Round],I$2,Table3[SI],$A19,Table3[Year],H$1)</f>
        <v>8</v>
      </c>
      <c r="J19" s="7">
        <f>SUMIFS(Table3[Result],Table3[Round],J$2,Table3[SI],$A19,Table3[Year],H$1)</f>
        <v>0</v>
      </c>
      <c r="K19" s="7">
        <f>SUMIFS(Table3[Result],Table3[Round],K$2,Table3[SI],$A19,Table3[Year],H$1)</f>
        <v>0</v>
      </c>
      <c r="L19" s="7">
        <f>SUMIFS(Table3[Result],Table3[Round],L$2,Table3[SI],$A19,Table3[Year],H$1)</f>
        <v>0</v>
      </c>
      <c r="M19" s="9">
        <f>SUMIFS(Table3[Result],Table3[SI],$A19,Table3[Year],H$1)</f>
        <v>8</v>
      </c>
      <c r="N19" s="6">
        <f>SUMIFS(Table3[Result],Table3[Round],N$2,Table3[SI],$A19,Table3[Year],N$1)</f>
        <v>0</v>
      </c>
      <c r="O19" s="6">
        <f>SUMIFS(Table3[Result],Table3[Round],O$2,Table3[SI],$A19,Table3[Year],N$1)</f>
        <v>0</v>
      </c>
      <c r="P19" s="6">
        <f>SUMIFS(Table3[Result],Table3[Round],P$2,Table3[SI],$A19,Table3[Year],N$1)</f>
        <v>0</v>
      </c>
      <c r="Q19" s="6">
        <f>SUMIFS(Table3[Result],Table3[Round],Q$2,Table3[SI],$A19,Table3[Year],N$1)</f>
        <v>0</v>
      </c>
      <c r="R19" s="6">
        <f>SUMIFS(Table3[Result],Table3[Round],R$2,Table3[SI],$A19,Table3[Year],N$1)</f>
        <v>0</v>
      </c>
      <c r="S19" s="8">
        <f>SUMIFS(Table3[Result],Table3[SI],$A19,Table3[Year],N$1)</f>
        <v>0</v>
      </c>
      <c r="T19" s="7">
        <f>SUMIFS(Table3[Result],Table3[Round],T$2,Table3[SI],$A19,Table3[Year],T$1)</f>
        <v>0</v>
      </c>
      <c r="U19" s="7">
        <f>SUMIFS(Table3[Result],Table3[Round],U$2,Table3[SI],$A19,Table3[Year],T$1)</f>
        <v>0</v>
      </c>
      <c r="V19" s="7">
        <f>SUMIFS(Table3[Result],Table3[Round],V$2,Table3[SI],$A19,Table3[Year],T$1)</f>
        <v>0</v>
      </c>
      <c r="W19" s="7">
        <f>SUMIFS(Table3[Result],Table3[Round],W$2,Table3[SI],$A19,Table3[Year],T$1)</f>
        <v>0</v>
      </c>
      <c r="X19" s="7">
        <f>SUMIFS(Table3[Result],Table3[Round],X$2,Table3[SI],$A19,Table3[Year],T$1)</f>
        <v>0</v>
      </c>
      <c r="Y19" s="9">
        <f>SUMIFS(Table3[Result],Table3[SI],$A19,Table3[Year],T$1)</f>
        <v>0</v>
      </c>
    </row>
    <row r="20" spans="1:25" ht="14.25" customHeight="1" x14ac:dyDescent="0.2">
      <c r="A20" s="4" t="s">
        <v>201</v>
      </c>
      <c r="B20" s="6">
        <f>SUMIFS(Table3[Result],Table3[Round],B$2,Table3[SI],$A20,Table3[Year],B$1)</f>
        <v>0</v>
      </c>
      <c r="C20" s="6">
        <f>SUMIFS(Table3[Result],Table3[Round],C$2,Table3[SI],$A20,Table3[Year],B$1)</f>
        <v>0</v>
      </c>
      <c r="D20" s="6">
        <f>SUMIFS(Table3[Result],Table3[Round],D$2,Table3[SI],$A20,Table3[Year],B$1)</f>
        <v>0</v>
      </c>
      <c r="E20" s="6">
        <f>SUMIFS(Table3[Result],Table3[Round],E$2,Table3[SI],$A20,Table3[Year],B$1)</f>
        <v>0</v>
      </c>
      <c r="F20" s="6">
        <f>SUMIFS(Table3[Result],Table3[Round],F$2,Table3[SI],$A20,Table3[Year],B$1)</f>
        <v>0</v>
      </c>
      <c r="G20" s="8">
        <f>SUMIFS(Table3[Result],Table3[SI],$A20,Table3[Year],B$1)</f>
        <v>0</v>
      </c>
      <c r="H20" s="7">
        <f>SUMIFS(Table3[Result],Table3[Round],H$2,Table3[SI],$A20,Table3[Year],H$1)</f>
        <v>0</v>
      </c>
      <c r="I20" s="7">
        <f>SUMIFS(Table3[Result],Table3[Round],I$2,Table3[SI],$A20,Table3[Year],H$1)</f>
        <v>0</v>
      </c>
      <c r="J20" s="7">
        <f>SUMIFS(Table3[Result],Table3[Round],J$2,Table3[SI],$A20,Table3[Year],H$1)</f>
        <v>0</v>
      </c>
      <c r="K20" s="7">
        <f>SUMIFS(Table3[Result],Table3[Round],K$2,Table3[SI],$A20,Table3[Year],H$1)</f>
        <v>0</v>
      </c>
      <c r="L20" s="7">
        <f>SUMIFS(Table3[Result],Table3[Round],L$2,Table3[SI],$A20,Table3[Year],H$1)</f>
        <v>0</v>
      </c>
      <c r="M20" s="9">
        <f>SUMIFS(Table3[Result],Table3[SI],$A20,Table3[Year],H$1)</f>
        <v>0</v>
      </c>
      <c r="N20" s="6">
        <f>SUMIFS(Table3[Result],Table3[Round],N$2,Table3[SI],$A20,Table3[Year],N$1)</f>
        <v>0</v>
      </c>
      <c r="O20" s="6">
        <f>SUMIFS(Table3[Result],Table3[Round],O$2,Table3[SI],$A20,Table3[Year],N$1)</f>
        <v>0</v>
      </c>
      <c r="P20" s="6">
        <f>SUMIFS(Table3[Result],Table3[Round],P$2,Table3[SI],$A20,Table3[Year],N$1)</f>
        <v>0</v>
      </c>
      <c r="Q20" s="6">
        <f>SUMIFS(Table3[Result],Table3[Round],Q$2,Table3[SI],$A20,Table3[Year],N$1)</f>
        <v>0</v>
      </c>
      <c r="R20" s="6">
        <f>SUMIFS(Table3[Result],Table3[Round],R$2,Table3[SI],$A20,Table3[Year],N$1)</f>
        <v>0</v>
      </c>
      <c r="S20" s="8">
        <f>SUMIFS(Table3[Result],Table3[SI],$A20,Table3[Year],N$1)</f>
        <v>0</v>
      </c>
      <c r="T20" s="7">
        <f>SUMIFS(Table3[Result],Table3[Round],T$2,Table3[SI],$A20,Table3[Year],T$1)</f>
        <v>0</v>
      </c>
      <c r="U20" s="7">
        <f>SUMIFS(Table3[Result],Table3[Round],U$2,Table3[SI],$A20,Table3[Year],T$1)</f>
        <v>0</v>
      </c>
      <c r="V20" s="7">
        <f>SUMIFS(Table3[Result],Table3[Round],V$2,Table3[SI],$A20,Table3[Year],T$1)</f>
        <v>0</v>
      </c>
      <c r="W20" s="7">
        <f>SUMIFS(Table3[Result],Table3[Round],W$2,Table3[SI],$A20,Table3[Year],T$1)</f>
        <v>0</v>
      </c>
      <c r="X20" s="7">
        <f>SUMIFS(Table3[Result],Table3[Round],X$2,Table3[SI],$A20,Table3[Year],T$1)</f>
        <v>0</v>
      </c>
      <c r="Y20" s="9">
        <f>SUMIFS(Table3[Result],Table3[SI],$A20,Table3[Year],T$1)</f>
        <v>0</v>
      </c>
    </row>
    <row r="21" spans="1:25" ht="14.25" customHeight="1" x14ac:dyDescent="0.2">
      <c r="A21" s="4" t="s">
        <v>203</v>
      </c>
      <c r="B21" s="6">
        <f>SUMIFS(Table3[Result],Table3[Round],B$2,Table3[SI],$A21,Table3[Year],B$1)</f>
        <v>0</v>
      </c>
      <c r="C21" s="6">
        <f>SUMIFS(Table3[Result],Table3[Round],C$2,Table3[SI],$A21,Table3[Year],B$1)</f>
        <v>0</v>
      </c>
      <c r="D21" s="6">
        <f>SUMIFS(Table3[Result],Table3[Round],D$2,Table3[SI],$A21,Table3[Year],B$1)</f>
        <v>0</v>
      </c>
      <c r="E21" s="6">
        <f>SUMIFS(Table3[Result],Table3[Round],E$2,Table3[SI],$A21,Table3[Year],B$1)</f>
        <v>0</v>
      </c>
      <c r="F21" s="6">
        <f>SUMIFS(Table3[Result],Table3[Round],F$2,Table3[SI],$A21,Table3[Year],B$1)</f>
        <v>0</v>
      </c>
      <c r="G21" s="8">
        <f>SUMIFS(Table3[Result],Table3[SI],$A21,Table3[Year],B$1)</f>
        <v>0</v>
      </c>
      <c r="H21" s="7">
        <f>SUMIFS(Table3[Result],Table3[Round],H$2,Table3[SI],$A21,Table3[Year],H$1)</f>
        <v>0</v>
      </c>
      <c r="I21" s="7">
        <f>SUMIFS(Table3[Result],Table3[Round],I$2,Table3[SI],$A21,Table3[Year],H$1)</f>
        <v>0</v>
      </c>
      <c r="J21" s="7">
        <f>SUMIFS(Table3[Result],Table3[Round],J$2,Table3[SI],$A21,Table3[Year],H$1)</f>
        <v>0</v>
      </c>
      <c r="K21" s="7">
        <f>SUMIFS(Table3[Result],Table3[Round],K$2,Table3[SI],$A21,Table3[Year],H$1)</f>
        <v>0</v>
      </c>
      <c r="L21" s="7">
        <f>SUMIFS(Table3[Result],Table3[Round],L$2,Table3[SI],$A21,Table3[Year],H$1)</f>
        <v>0</v>
      </c>
      <c r="M21" s="9">
        <f>SUMIFS(Table3[Result],Table3[SI],$A21,Table3[Year],H$1)</f>
        <v>0</v>
      </c>
      <c r="N21" s="6">
        <f>SUMIFS(Table3[Result],Table3[Round],N$2,Table3[SI],$A21,Table3[Year],N$1)</f>
        <v>0</v>
      </c>
      <c r="O21" s="6">
        <f>SUMIFS(Table3[Result],Table3[Round],O$2,Table3[SI],$A21,Table3[Year],N$1)</f>
        <v>0</v>
      </c>
      <c r="P21" s="6">
        <f>SUMIFS(Table3[Result],Table3[Round],P$2,Table3[SI],$A21,Table3[Year],N$1)</f>
        <v>0</v>
      </c>
      <c r="Q21" s="6">
        <f>SUMIFS(Table3[Result],Table3[Round],Q$2,Table3[SI],$A21,Table3[Year],N$1)</f>
        <v>0</v>
      </c>
      <c r="R21" s="6">
        <f>SUMIFS(Table3[Result],Table3[Round],R$2,Table3[SI],$A21,Table3[Year],N$1)</f>
        <v>0</v>
      </c>
      <c r="S21" s="8">
        <f>SUMIFS(Table3[Result],Table3[SI],$A21,Table3[Year],N$1)</f>
        <v>0</v>
      </c>
      <c r="T21" s="7">
        <f>SUMIFS(Table3[Result],Table3[Round],T$2,Table3[SI],$A21,Table3[Year],T$1)</f>
        <v>0</v>
      </c>
      <c r="U21" s="7">
        <f>SUMIFS(Table3[Result],Table3[Round],U$2,Table3[SI],$A21,Table3[Year],T$1)</f>
        <v>0</v>
      </c>
      <c r="V21" s="7">
        <f>SUMIFS(Table3[Result],Table3[Round],V$2,Table3[SI],$A21,Table3[Year],T$1)</f>
        <v>0</v>
      </c>
      <c r="W21" s="7">
        <f>SUMIFS(Table3[Result],Table3[Round],W$2,Table3[SI],$A21,Table3[Year],T$1)</f>
        <v>0</v>
      </c>
      <c r="X21" s="7">
        <f>SUMIFS(Table3[Result],Table3[Round],X$2,Table3[SI],$A21,Table3[Year],T$1)</f>
        <v>0</v>
      </c>
      <c r="Y21" s="9">
        <f>SUMIFS(Table3[Result],Table3[SI],$A21,Table3[Year],T$1)</f>
        <v>0</v>
      </c>
    </row>
    <row r="22" spans="1:25" ht="14.25" customHeight="1" x14ac:dyDescent="0.2">
      <c r="A22" s="4" t="s">
        <v>205</v>
      </c>
      <c r="B22" s="6">
        <f>SUMIFS(Table3[Result],Table3[Round],B$2,Table3[SI],$A22,Table3[Year],B$1)</f>
        <v>0</v>
      </c>
      <c r="C22" s="6">
        <f>SUMIFS(Table3[Result],Table3[Round],C$2,Table3[SI],$A22,Table3[Year],B$1)</f>
        <v>0</v>
      </c>
      <c r="D22" s="6">
        <f>SUMIFS(Table3[Result],Table3[Round],D$2,Table3[SI],$A22,Table3[Year],B$1)</f>
        <v>0</v>
      </c>
      <c r="E22" s="6">
        <f>SUMIFS(Table3[Result],Table3[Round],E$2,Table3[SI],$A22,Table3[Year],B$1)</f>
        <v>0</v>
      </c>
      <c r="F22" s="6">
        <f>SUMIFS(Table3[Result],Table3[Round],F$2,Table3[SI],$A22,Table3[Year],B$1)</f>
        <v>0</v>
      </c>
      <c r="G22" s="8">
        <f>SUMIFS(Table3[Result],Table3[SI],$A22,Table3[Year],B$1)</f>
        <v>0</v>
      </c>
      <c r="H22" s="7">
        <f>SUMIFS(Table3[Result],Table3[Round],H$2,Table3[SI],$A22,Table3[Year],H$1)</f>
        <v>0</v>
      </c>
      <c r="I22" s="7">
        <f>SUMIFS(Table3[Result],Table3[Round],I$2,Table3[SI],$A22,Table3[Year],H$1)</f>
        <v>0</v>
      </c>
      <c r="J22" s="7">
        <f>SUMIFS(Table3[Result],Table3[Round],J$2,Table3[SI],$A22,Table3[Year],H$1)</f>
        <v>0</v>
      </c>
      <c r="K22" s="7">
        <f>SUMIFS(Table3[Result],Table3[Round],K$2,Table3[SI],$A22,Table3[Year],H$1)</f>
        <v>0</v>
      </c>
      <c r="L22" s="7">
        <f>SUMIFS(Table3[Result],Table3[Round],L$2,Table3[SI],$A22,Table3[Year],H$1)</f>
        <v>0</v>
      </c>
      <c r="M22" s="9">
        <f>SUMIFS(Table3[Result],Table3[SI],$A22,Table3[Year],H$1)</f>
        <v>0</v>
      </c>
      <c r="N22" s="6">
        <f>SUMIFS(Table3[Result],Table3[Round],N$2,Table3[SI],$A22,Table3[Year],N$1)</f>
        <v>0</v>
      </c>
      <c r="O22" s="6">
        <f>SUMIFS(Table3[Result],Table3[Round],O$2,Table3[SI],$A22,Table3[Year],N$1)</f>
        <v>0</v>
      </c>
      <c r="P22" s="6">
        <f>SUMIFS(Table3[Result],Table3[Round],P$2,Table3[SI],$A22,Table3[Year],N$1)</f>
        <v>0</v>
      </c>
      <c r="Q22" s="6">
        <f>SUMIFS(Table3[Result],Table3[Round],Q$2,Table3[SI],$A22,Table3[Year],N$1)</f>
        <v>0</v>
      </c>
      <c r="R22" s="6">
        <f>SUMIFS(Table3[Result],Table3[Round],R$2,Table3[SI],$A22,Table3[Year],N$1)</f>
        <v>0</v>
      </c>
      <c r="S22" s="8">
        <f>SUMIFS(Table3[Result],Table3[SI],$A22,Table3[Year],N$1)</f>
        <v>0</v>
      </c>
      <c r="T22" s="7">
        <f>SUMIFS(Table3[Result],Table3[Round],T$2,Table3[SI],$A22,Table3[Year],T$1)</f>
        <v>0</v>
      </c>
      <c r="U22" s="7">
        <f>SUMIFS(Table3[Result],Table3[Round],U$2,Table3[SI],$A22,Table3[Year],T$1)</f>
        <v>0</v>
      </c>
      <c r="V22" s="7">
        <f>SUMIFS(Table3[Result],Table3[Round],V$2,Table3[SI],$A22,Table3[Year],T$1)</f>
        <v>0</v>
      </c>
      <c r="W22" s="7">
        <f>SUMIFS(Table3[Result],Table3[Round],W$2,Table3[SI],$A22,Table3[Year],T$1)</f>
        <v>0</v>
      </c>
      <c r="X22" s="7">
        <f>SUMIFS(Table3[Result],Table3[Round],X$2,Table3[SI],$A22,Table3[Year],T$1)</f>
        <v>0</v>
      </c>
      <c r="Y22" s="9">
        <f>SUMIFS(Table3[Result],Table3[SI],$A22,Table3[Year],T$1)</f>
        <v>0</v>
      </c>
    </row>
    <row r="23" spans="1:25" ht="14.25" customHeight="1" x14ac:dyDescent="0.2">
      <c r="A23" s="4" t="s">
        <v>207</v>
      </c>
      <c r="B23" s="6">
        <f>SUMIFS(Table3[Result],Table3[Round],B$2,Table3[SI],$A23,Table3[Year],B$1)</f>
        <v>0</v>
      </c>
      <c r="C23" s="6">
        <f>SUMIFS(Table3[Result],Table3[Round],C$2,Table3[SI],$A23,Table3[Year],B$1)</f>
        <v>0</v>
      </c>
      <c r="D23" s="6">
        <f>SUMIFS(Table3[Result],Table3[Round],D$2,Table3[SI],$A23,Table3[Year],B$1)</f>
        <v>0</v>
      </c>
      <c r="E23" s="6">
        <f>SUMIFS(Table3[Result],Table3[Round],E$2,Table3[SI],$A23,Table3[Year],B$1)</f>
        <v>0</v>
      </c>
      <c r="F23" s="6">
        <f>SUMIFS(Table3[Result],Table3[Round],F$2,Table3[SI],$A23,Table3[Year],B$1)</f>
        <v>0</v>
      </c>
      <c r="G23" s="8">
        <f>SUMIFS(Table3[Result],Table3[SI],$A23,Table3[Year],B$1)</f>
        <v>0</v>
      </c>
      <c r="H23" s="7">
        <f>SUMIFS(Table3[Result],Table3[Round],H$2,Table3[SI],$A23,Table3[Year],H$1)</f>
        <v>0</v>
      </c>
      <c r="I23" s="7">
        <f>SUMIFS(Table3[Result],Table3[Round],I$2,Table3[SI],$A23,Table3[Year],H$1)</f>
        <v>0</v>
      </c>
      <c r="J23" s="7">
        <f>SUMIFS(Table3[Result],Table3[Round],J$2,Table3[SI],$A23,Table3[Year],H$1)</f>
        <v>0</v>
      </c>
      <c r="K23" s="7">
        <f>SUMIFS(Table3[Result],Table3[Round],K$2,Table3[SI],$A23,Table3[Year],H$1)</f>
        <v>0</v>
      </c>
      <c r="L23" s="7">
        <f>SUMIFS(Table3[Result],Table3[Round],L$2,Table3[SI],$A23,Table3[Year],H$1)</f>
        <v>0</v>
      </c>
      <c r="M23" s="9">
        <f>SUMIFS(Table3[Result],Table3[SI],$A23,Table3[Year],H$1)</f>
        <v>0</v>
      </c>
      <c r="N23" s="6">
        <f>SUMIFS(Table3[Result],Table3[Round],N$2,Table3[SI],$A23,Table3[Year],N$1)</f>
        <v>0</v>
      </c>
      <c r="O23" s="6">
        <f>SUMIFS(Table3[Result],Table3[Round],O$2,Table3[SI],$A23,Table3[Year],N$1)</f>
        <v>0</v>
      </c>
      <c r="P23" s="6">
        <f>SUMIFS(Table3[Result],Table3[Round],P$2,Table3[SI],$A23,Table3[Year],N$1)</f>
        <v>5</v>
      </c>
      <c r="Q23" s="6">
        <f>SUMIFS(Table3[Result],Table3[Round],Q$2,Table3[SI],$A23,Table3[Year],N$1)</f>
        <v>0</v>
      </c>
      <c r="R23" s="6">
        <f>SUMIFS(Table3[Result],Table3[Round],R$2,Table3[SI],$A23,Table3[Year],N$1)</f>
        <v>0</v>
      </c>
      <c r="S23" s="8">
        <f>SUMIFS(Table3[Result],Table3[SI],$A23,Table3[Year],N$1)</f>
        <v>5</v>
      </c>
      <c r="T23" s="7">
        <f>SUMIFS(Table3[Result],Table3[Round],T$2,Table3[SI],$A23,Table3[Year],T$1)</f>
        <v>0</v>
      </c>
      <c r="U23" s="7">
        <f>SUMIFS(Table3[Result],Table3[Round],U$2,Table3[SI],$A23,Table3[Year],T$1)</f>
        <v>0</v>
      </c>
      <c r="V23" s="7">
        <f>SUMIFS(Table3[Result],Table3[Round],V$2,Table3[SI],$A23,Table3[Year],T$1)</f>
        <v>0</v>
      </c>
      <c r="W23" s="7">
        <f>SUMIFS(Table3[Result],Table3[Round],W$2,Table3[SI],$A23,Table3[Year],T$1)</f>
        <v>0</v>
      </c>
      <c r="X23" s="7">
        <f>SUMIFS(Table3[Result],Table3[Round],X$2,Table3[SI],$A23,Table3[Year],T$1)</f>
        <v>0</v>
      </c>
      <c r="Y23" s="9">
        <f>SUMIFS(Table3[Result],Table3[SI],$A23,Table3[Year],T$1)</f>
        <v>0</v>
      </c>
    </row>
    <row r="24" spans="1:25" ht="14.25" customHeight="1" x14ac:dyDescent="0.2">
      <c r="A24" s="4" t="s">
        <v>210</v>
      </c>
      <c r="B24" s="6">
        <f>SUMIFS(Table3[Result],Table3[Round],B$2,Table3[SI],$A24,Table3[Year],B$1)</f>
        <v>0</v>
      </c>
      <c r="C24" s="6">
        <f>SUMIFS(Table3[Result],Table3[Round],C$2,Table3[SI],$A24,Table3[Year],B$1)</f>
        <v>0</v>
      </c>
      <c r="D24" s="6">
        <f>SUMIFS(Table3[Result],Table3[Round],D$2,Table3[SI],$A24,Table3[Year],B$1)</f>
        <v>0</v>
      </c>
      <c r="E24" s="6">
        <f>SUMIFS(Table3[Result],Table3[Round],E$2,Table3[SI],$A24,Table3[Year],B$1)</f>
        <v>0</v>
      </c>
      <c r="F24" s="6">
        <f>SUMIFS(Table3[Result],Table3[Round],F$2,Table3[SI],$A24,Table3[Year],B$1)</f>
        <v>0</v>
      </c>
      <c r="G24" s="8">
        <f>SUMIFS(Table3[Result],Table3[SI],$A24,Table3[Year],B$1)</f>
        <v>0</v>
      </c>
      <c r="H24" s="7">
        <f>SUMIFS(Table3[Result],Table3[Round],H$2,Table3[SI],$A24,Table3[Year],H$1)</f>
        <v>0</v>
      </c>
      <c r="I24" s="7">
        <f>SUMIFS(Table3[Result],Table3[Round],I$2,Table3[SI],$A24,Table3[Year],H$1)</f>
        <v>0</v>
      </c>
      <c r="J24" s="7">
        <f>SUMIFS(Table3[Result],Table3[Round],J$2,Table3[SI],$A24,Table3[Year],H$1)</f>
        <v>0</v>
      </c>
      <c r="K24" s="7">
        <f>SUMIFS(Table3[Result],Table3[Round],K$2,Table3[SI],$A24,Table3[Year],H$1)</f>
        <v>0</v>
      </c>
      <c r="L24" s="7">
        <f>SUMIFS(Table3[Result],Table3[Round],L$2,Table3[SI],$A24,Table3[Year],H$1)</f>
        <v>0</v>
      </c>
      <c r="M24" s="9">
        <f>SUMIFS(Table3[Result],Table3[SI],$A24,Table3[Year],H$1)</f>
        <v>0</v>
      </c>
      <c r="N24" s="6">
        <f>SUMIFS(Table3[Result],Table3[Round],N$2,Table3[SI],$A24,Table3[Year],N$1)</f>
        <v>0</v>
      </c>
      <c r="O24" s="6">
        <f>SUMIFS(Table3[Result],Table3[Round],O$2,Table3[SI],$A24,Table3[Year],N$1)</f>
        <v>0</v>
      </c>
      <c r="P24" s="6">
        <f>SUMIFS(Table3[Result],Table3[Round],P$2,Table3[SI],$A24,Table3[Year],N$1)</f>
        <v>0</v>
      </c>
      <c r="Q24" s="6">
        <f>SUMIFS(Table3[Result],Table3[Round],Q$2,Table3[SI],$A24,Table3[Year],N$1)</f>
        <v>0</v>
      </c>
      <c r="R24" s="6">
        <f>SUMIFS(Table3[Result],Table3[Round],R$2,Table3[SI],$A24,Table3[Year],N$1)</f>
        <v>0</v>
      </c>
      <c r="S24" s="8">
        <f>SUMIFS(Table3[Result],Table3[SI],$A24,Table3[Year],N$1)</f>
        <v>0</v>
      </c>
      <c r="T24" s="7">
        <f>SUMIFS(Table3[Result],Table3[Round],T$2,Table3[SI],$A24,Table3[Year],T$1)</f>
        <v>0</v>
      </c>
      <c r="U24" s="7">
        <f>SUMIFS(Table3[Result],Table3[Round],U$2,Table3[SI],$A24,Table3[Year],T$1)</f>
        <v>0</v>
      </c>
      <c r="V24" s="7">
        <f>SUMIFS(Table3[Result],Table3[Round],V$2,Table3[SI],$A24,Table3[Year],T$1)</f>
        <v>3</v>
      </c>
      <c r="W24" s="7">
        <f>SUMIFS(Table3[Result],Table3[Round],W$2,Table3[SI],$A24,Table3[Year],T$1)</f>
        <v>0</v>
      </c>
      <c r="X24" s="7">
        <f>SUMIFS(Table3[Result],Table3[Round],X$2,Table3[SI],$A24,Table3[Year],T$1)</f>
        <v>0</v>
      </c>
      <c r="Y24" s="9">
        <f>SUMIFS(Table3[Result],Table3[SI],$A24,Table3[Year],T$1)</f>
        <v>3</v>
      </c>
    </row>
    <row r="25" spans="1:25" ht="14.25" customHeight="1" x14ac:dyDescent="0.2">
      <c r="A25" s="4" t="s">
        <v>212</v>
      </c>
      <c r="B25" s="6">
        <f>SUMIFS(Table3[Result],Table3[Round],B$2,Table3[SI],$A25,Table3[Year],B$1)</f>
        <v>0</v>
      </c>
      <c r="C25" s="6">
        <f>SUMIFS(Table3[Result],Table3[Round],C$2,Table3[SI],$A25,Table3[Year],B$1)</f>
        <v>0</v>
      </c>
      <c r="D25" s="6">
        <f>SUMIFS(Table3[Result],Table3[Round],D$2,Table3[SI],$A25,Table3[Year],B$1)</f>
        <v>0</v>
      </c>
      <c r="E25" s="6">
        <f>SUMIFS(Table3[Result],Table3[Round],E$2,Table3[SI],$A25,Table3[Year],B$1)</f>
        <v>0</v>
      </c>
      <c r="F25" s="6">
        <f>SUMIFS(Table3[Result],Table3[Round],F$2,Table3[SI],$A25,Table3[Year],B$1)</f>
        <v>0</v>
      </c>
      <c r="G25" s="8">
        <f>SUMIFS(Table3[Result],Table3[SI],$A25,Table3[Year],B$1)</f>
        <v>0</v>
      </c>
      <c r="H25" s="7">
        <f>SUMIFS(Table3[Result],Table3[Round],H$2,Table3[SI],$A25,Table3[Year],H$1)</f>
        <v>0</v>
      </c>
      <c r="I25" s="7">
        <f>SUMIFS(Table3[Result],Table3[Round],I$2,Table3[SI],$A25,Table3[Year],H$1)</f>
        <v>0</v>
      </c>
      <c r="J25" s="7">
        <f>SUMIFS(Table3[Result],Table3[Round],J$2,Table3[SI],$A25,Table3[Year],H$1)</f>
        <v>0</v>
      </c>
      <c r="K25" s="7">
        <f>SUMIFS(Table3[Result],Table3[Round],K$2,Table3[SI],$A25,Table3[Year],H$1)</f>
        <v>0</v>
      </c>
      <c r="L25" s="7">
        <f>SUMIFS(Table3[Result],Table3[Round],L$2,Table3[SI],$A25,Table3[Year],H$1)</f>
        <v>0</v>
      </c>
      <c r="M25" s="9">
        <f>SUMIFS(Table3[Result],Table3[SI],$A25,Table3[Year],H$1)</f>
        <v>0</v>
      </c>
      <c r="N25" s="6">
        <f>SUMIFS(Table3[Result],Table3[Round],N$2,Table3[SI],$A25,Table3[Year],N$1)</f>
        <v>0</v>
      </c>
      <c r="O25" s="6">
        <f>SUMIFS(Table3[Result],Table3[Round],O$2,Table3[SI],$A25,Table3[Year],N$1)</f>
        <v>0</v>
      </c>
      <c r="P25" s="6">
        <f>SUMIFS(Table3[Result],Table3[Round],P$2,Table3[SI],$A25,Table3[Year],N$1)</f>
        <v>0</v>
      </c>
      <c r="Q25" s="6">
        <f>SUMIFS(Table3[Result],Table3[Round],Q$2,Table3[SI],$A25,Table3[Year],N$1)</f>
        <v>0</v>
      </c>
      <c r="R25" s="6">
        <f>SUMIFS(Table3[Result],Table3[Round],R$2,Table3[SI],$A25,Table3[Year],N$1)</f>
        <v>0</v>
      </c>
      <c r="S25" s="8">
        <f>SUMIFS(Table3[Result],Table3[SI],$A25,Table3[Year],N$1)</f>
        <v>0</v>
      </c>
      <c r="T25" s="7">
        <f>SUMIFS(Table3[Result],Table3[Round],T$2,Table3[SI],$A25,Table3[Year],T$1)</f>
        <v>0</v>
      </c>
      <c r="U25" s="7">
        <f>SUMIFS(Table3[Result],Table3[Round],U$2,Table3[SI],$A25,Table3[Year],T$1)</f>
        <v>0</v>
      </c>
      <c r="V25" s="7">
        <f>SUMIFS(Table3[Result],Table3[Round],V$2,Table3[SI],$A25,Table3[Year],T$1)</f>
        <v>0</v>
      </c>
      <c r="W25" s="7">
        <f>SUMIFS(Table3[Result],Table3[Round],W$2,Table3[SI],$A25,Table3[Year],T$1)</f>
        <v>0</v>
      </c>
      <c r="X25" s="7">
        <f>SUMIFS(Table3[Result],Table3[Round],X$2,Table3[SI],$A25,Table3[Year],T$1)</f>
        <v>0</v>
      </c>
      <c r="Y25" s="9">
        <f>SUMIFS(Table3[Result],Table3[SI],$A25,Table3[Year],T$1)</f>
        <v>0</v>
      </c>
    </row>
    <row r="26" spans="1:25" ht="14.25" customHeight="1" x14ac:dyDescent="0.2">
      <c r="A26" s="4"/>
      <c r="B26" s="6"/>
      <c r="C26" s="6"/>
      <c r="D26" s="6"/>
      <c r="E26" s="6"/>
      <c r="F26" s="6"/>
      <c r="G26" s="8"/>
      <c r="H26" s="7"/>
      <c r="I26" s="7"/>
      <c r="J26" s="7"/>
      <c r="K26" s="7"/>
      <c r="L26" s="7"/>
      <c r="M26" s="9"/>
      <c r="N26" s="6"/>
      <c r="O26" s="6"/>
      <c r="P26" s="6"/>
      <c r="Q26" s="6"/>
      <c r="R26" s="6"/>
      <c r="S26" s="8"/>
      <c r="T26" s="7"/>
      <c r="U26" s="7"/>
      <c r="V26" s="7"/>
      <c r="W26" s="7"/>
      <c r="X26" s="7"/>
      <c r="Y26" s="9"/>
    </row>
    <row r="27" spans="1:25" ht="14.25" customHeight="1" x14ac:dyDescent="0.2">
      <c r="A27" s="4" t="s">
        <v>215</v>
      </c>
      <c r="B27" s="6">
        <f>SUMIFS(Table3[Result],Table3[Round],B$2,Table3[SI],$A27,Table3[Year],B$1)</f>
        <v>0</v>
      </c>
      <c r="C27" s="6">
        <f>SUMIFS(Table3[Result],Table3[Round],C$2,Table3[SI],$A27,Table3[Year],B$1)</f>
        <v>0</v>
      </c>
      <c r="D27" s="6">
        <f>SUMIFS(Table3[Result],Table3[Round],D$2,Table3[SI],$A27,Table3[Year],B$1)</f>
        <v>0</v>
      </c>
      <c r="E27" s="6">
        <f>SUMIFS(Table3[Result],Table3[Round],E$2,Table3[SI],$A27,Table3[Year],B$1)</f>
        <v>0</v>
      </c>
      <c r="F27" s="6">
        <f>SUMIFS(Table3[Result],Table3[Round],F$2,Table3[SI],$A27,Table3[Year],B$1)</f>
        <v>0</v>
      </c>
      <c r="G27" s="8">
        <f>SUMIFS(Table3[Result],Table3[SI],$A27,Table3[Year],B$1)</f>
        <v>0</v>
      </c>
      <c r="H27" s="7">
        <f>SUMIFS(Table3[Result],Table3[Round],H$2,Table3[SI],$A27,Table3[Year],H$1)</f>
        <v>0</v>
      </c>
      <c r="I27" s="7">
        <f>SUMIFS(Table3[Result],Table3[Round],I$2,Table3[SI],$A27,Table3[Year],H$1)</f>
        <v>3</v>
      </c>
      <c r="J27" s="7">
        <f>SUMIFS(Table3[Result],Table3[Round],J$2,Table3[SI],$A27,Table3[Year],H$1)</f>
        <v>7</v>
      </c>
      <c r="K27" s="7">
        <f>SUMIFS(Table3[Result],Table3[Round],K$2,Table3[SI],$A27,Table3[Year],H$1)</f>
        <v>0</v>
      </c>
      <c r="L27" s="7">
        <f>SUMIFS(Table3[Result],Table3[Round],L$2,Table3[SI],$A27,Table3[Year],H$1)</f>
        <v>0</v>
      </c>
      <c r="M27" s="9">
        <f>SUMIFS(Table3[Result],Table3[SI],$A27,Table3[Year],H$1)</f>
        <v>10</v>
      </c>
      <c r="N27" s="6">
        <f>SUMIFS(Table3[Result],Table3[Round],N$2,Table3[SI],$A27,Table3[Year],N$1)</f>
        <v>0</v>
      </c>
      <c r="O27" s="6">
        <f>SUMIFS(Table3[Result],Table3[Round],O$2,Table3[SI],$A27,Table3[Year],N$1)</f>
        <v>1</v>
      </c>
      <c r="P27" s="6">
        <f>SUMIFS(Table3[Result],Table3[Round],P$2,Table3[SI],$A27,Table3[Year],N$1)</f>
        <v>27</v>
      </c>
      <c r="Q27" s="6">
        <f>SUMIFS(Table3[Result],Table3[Round],Q$2,Table3[SI],$A27,Table3[Year],N$1)</f>
        <v>10</v>
      </c>
      <c r="R27" s="6">
        <f>SUMIFS(Table3[Result],Table3[Round],R$2,Table3[SI],$A27,Table3[Year],N$1)</f>
        <v>0</v>
      </c>
      <c r="S27" s="8">
        <f>SUMIFS(Table3[Result],Table3[SI],$A27,Table3[Year],N$1)</f>
        <v>38</v>
      </c>
      <c r="T27" s="7">
        <f>SUMIFS(Table3[Result],Table3[Round],T$2,Table3[SI],$A27,Table3[Year],T$1)</f>
        <v>0</v>
      </c>
      <c r="U27" s="7">
        <f>SUMIFS(Table3[Result],Table3[Round],U$2,Table3[SI],$A27,Table3[Year],T$1)</f>
        <v>0</v>
      </c>
      <c r="V27" s="7">
        <f>SUMIFS(Table3[Result],Table3[Round],V$2,Table3[SI],$A27,Table3[Year],T$1)</f>
        <v>3</v>
      </c>
      <c r="W27" s="7">
        <f>SUMIFS(Table3[Result],Table3[Round],W$2,Table3[SI],$A27,Table3[Year],T$1)</f>
        <v>15</v>
      </c>
      <c r="X27" s="7">
        <f>SUMIFS(Table3[Result],Table3[Round],X$2,Table3[SI],$A27,Table3[Year],T$1)</f>
        <v>0</v>
      </c>
      <c r="Y27" s="9">
        <f>SUMIFS(Table3[Result],Table3[SI],$A27,Table3[Year],T$1)</f>
        <v>18</v>
      </c>
    </row>
    <row r="28" spans="1:25" ht="14.25" customHeight="1" x14ac:dyDescent="0.2">
      <c r="A28" s="4" t="s">
        <v>217</v>
      </c>
      <c r="B28" s="6">
        <f>SUMIFS(Table3[Result],Table3[Round],B$2,Table3[SI],$A28,Table3[Year],B$1)</f>
        <v>0</v>
      </c>
      <c r="C28" s="6">
        <f>SUMIFS(Table3[Result],Table3[Round],C$2,Table3[SI],$A28,Table3[Year],B$1)</f>
        <v>0</v>
      </c>
      <c r="D28" s="6">
        <f>SUMIFS(Table3[Result],Table3[Round],D$2,Table3[SI],$A28,Table3[Year],B$1)</f>
        <v>0</v>
      </c>
      <c r="E28" s="6">
        <f>SUMIFS(Table3[Result],Table3[Round],E$2,Table3[SI],$A28,Table3[Year],B$1)</f>
        <v>0</v>
      </c>
      <c r="F28" s="6">
        <f>SUMIFS(Table3[Result],Table3[Round],F$2,Table3[SI],$A28,Table3[Year],B$1)</f>
        <v>0</v>
      </c>
      <c r="G28" s="8">
        <f>SUMIFS(Table3[Result],Table3[SI],$A28,Table3[Year],B$1)</f>
        <v>0</v>
      </c>
      <c r="H28" s="7">
        <f>SUMIFS(Table3[Result],Table3[Round],H$2,Table3[SI],$A28,Table3[Year],H$1)</f>
        <v>0</v>
      </c>
      <c r="I28" s="7">
        <f>SUMIFS(Table3[Result],Table3[Round],I$2,Table3[SI],$A28,Table3[Year],H$1)</f>
        <v>0</v>
      </c>
      <c r="J28" s="7">
        <f>SUMIFS(Table3[Result],Table3[Round],J$2,Table3[SI],$A28,Table3[Year],H$1)</f>
        <v>1</v>
      </c>
      <c r="K28" s="7">
        <f>SUMIFS(Table3[Result],Table3[Round],K$2,Table3[SI],$A28,Table3[Year],H$1)</f>
        <v>0</v>
      </c>
      <c r="L28" s="7">
        <f>SUMIFS(Table3[Result],Table3[Round],L$2,Table3[SI],$A28,Table3[Year],H$1)</f>
        <v>0</v>
      </c>
      <c r="M28" s="9">
        <f>SUMIFS(Table3[Result],Table3[SI],$A28,Table3[Year],H$1)</f>
        <v>1</v>
      </c>
      <c r="N28" s="6">
        <f>SUMIFS(Table3[Result],Table3[Round],N$2,Table3[SI],$A28,Table3[Year],N$1)</f>
        <v>0</v>
      </c>
      <c r="O28" s="6">
        <f>SUMIFS(Table3[Result],Table3[Round],O$2,Table3[SI],$A28,Table3[Year],N$1)</f>
        <v>0</v>
      </c>
      <c r="P28" s="6">
        <f>SUMIFS(Table3[Result],Table3[Round],P$2,Table3[SI],$A28,Table3[Year],N$1)</f>
        <v>0</v>
      </c>
      <c r="Q28" s="6">
        <f>SUMIFS(Table3[Result],Table3[Round],Q$2,Table3[SI],$A28,Table3[Year],N$1)</f>
        <v>0</v>
      </c>
      <c r="R28" s="6">
        <f>SUMIFS(Table3[Result],Table3[Round],R$2,Table3[SI],$A28,Table3[Year],N$1)</f>
        <v>0</v>
      </c>
      <c r="S28" s="8">
        <f>SUMIFS(Table3[Result],Table3[SI],$A28,Table3[Year],N$1)</f>
        <v>0</v>
      </c>
      <c r="T28" s="7">
        <f>SUMIFS(Table3[Result],Table3[Round],T$2,Table3[SI],$A28,Table3[Year],T$1)</f>
        <v>0</v>
      </c>
      <c r="U28" s="7">
        <f>SUMIFS(Table3[Result],Table3[Round],U$2,Table3[SI],$A28,Table3[Year],T$1)</f>
        <v>128</v>
      </c>
      <c r="V28" s="7">
        <f>SUMIFS(Table3[Result],Table3[Round],V$2,Table3[SI],$A28,Table3[Year],T$1)</f>
        <v>0</v>
      </c>
      <c r="W28" s="7">
        <f>SUMIFS(Table3[Result],Table3[Round],W$2,Table3[SI],$A28,Table3[Year],T$1)</f>
        <v>15</v>
      </c>
      <c r="X28" s="7">
        <f>SUMIFS(Table3[Result],Table3[Round],X$2,Table3[SI],$A28,Table3[Year],T$1)</f>
        <v>1</v>
      </c>
      <c r="Y28" s="9">
        <f>SUMIFS(Table3[Result],Table3[SI],$A28,Table3[Year],T$1)</f>
        <v>144</v>
      </c>
    </row>
    <row r="29" spans="1:25" ht="14.25" customHeight="1" x14ac:dyDescent="0.2">
      <c r="A29" s="4" t="s">
        <v>219</v>
      </c>
      <c r="B29" s="6">
        <f>SUMIFS(Table3[Result],Table3[Round],B$2,Table3[SI],$A29,Table3[Year],B$1)</f>
        <v>0</v>
      </c>
      <c r="C29" s="6">
        <f>SUMIFS(Table3[Result],Table3[Round],C$2,Table3[SI],$A29,Table3[Year],B$1)</f>
        <v>0</v>
      </c>
      <c r="D29" s="6">
        <f>SUMIFS(Table3[Result],Table3[Round],D$2,Table3[SI],$A29,Table3[Year],B$1)</f>
        <v>0</v>
      </c>
      <c r="E29" s="6">
        <f>SUMIFS(Table3[Result],Table3[Round],E$2,Table3[SI],$A29,Table3[Year],B$1)</f>
        <v>0</v>
      </c>
      <c r="F29" s="6">
        <f>SUMIFS(Table3[Result],Table3[Round],F$2,Table3[SI],$A29,Table3[Year],B$1)</f>
        <v>0</v>
      </c>
      <c r="G29" s="8">
        <f>SUMIFS(Table3[Result],Table3[SI],$A29,Table3[Year],B$1)</f>
        <v>0</v>
      </c>
      <c r="H29" s="7">
        <f>SUMIFS(Table3[Result],Table3[Round],H$2,Table3[SI],$A29,Table3[Year],H$1)</f>
        <v>0</v>
      </c>
      <c r="I29" s="7">
        <f>SUMIFS(Table3[Result],Table3[Round],I$2,Table3[SI],$A29,Table3[Year],H$1)</f>
        <v>0</v>
      </c>
      <c r="J29" s="7">
        <f>SUMIFS(Table3[Result],Table3[Round],J$2,Table3[SI],$A29,Table3[Year],H$1)</f>
        <v>0</v>
      </c>
      <c r="K29" s="7">
        <f>SUMIFS(Table3[Result],Table3[Round],K$2,Table3[SI],$A29,Table3[Year],H$1)</f>
        <v>0</v>
      </c>
      <c r="L29" s="7">
        <f>SUMIFS(Table3[Result],Table3[Round],L$2,Table3[SI],$A29,Table3[Year],H$1)</f>
        <v>0</v>
      </c>
      <c r="M29" s="9">
        <f>SUMIFS(Table3[Result],Table3[SI],$A29,Table3[Year],H$1)</f>
        <v>0</v>
      </c>
      <c r="N29" s="6">
        <f>SUMIFS(Table3[Result],Table3[Round],N$2,Table3[SI],$A29,Table3[Year],N$1)</f>
        <v>0</v>
      </c>
      <c r="O29" s="6">
        <f>SUMIFS(Table3[Result],Table3[Round],O$2,Table3[SI],$A29,Table3[Year],N$1)</f>
        <v>0</v>
      </c>
      <c r="P29" s="6">
        <f>SUMIFS(Table3[Result],Table3[Round],P$2,Table3[SI],$A29,Table3[Year],N$1)</f>
        <v>0</v>
      </c>
      <c r="Q29" s="6">
        <f>SUMIFS(Table3[Result],Table3[Round],Q$2,Table3[SI],$A29,Table3[Year],N$1)</f>
        <v>0</v>
      </c>
      <c r="R29" s="6">
        <f>SUMIFS(Table3[Result],Table3[Round],R$2,Table3[SI],$A29,Table3[Year],N$1)</f>
        <v>0</v>
      </c>
      <c r="S29" s="8">
        <f>SUMIFS(Table3[Result],Table3[SI],$A29,Table3[Year],N$1)</f>
        <v>0</v>
      </c>
      <c r="T29" s="7">
        <f>SUMIFS(Table3[Result],Table3[Round],T$2,Table3[SI],$A29,Table3[Year],T$1)</f>
        <v>0</v>
      </c>
      <c r="U29" s="7">
        <f>SUMIFS(Table3[Result],Table3[Round],U$2,Table3[SI],$A29,Table3[Year],T$1)</f>
        <v>0</v>
      </c>
      <c r="V29" s="7">
        <f>SUMIFS(Table3[Result],Table3[Round],V$2,Table3[SI],$A29,Table3[Year],T$1)</f>
        <v>1</v>
      </c>
      <c r="W29" s="7">
        <f>SUMIFS(Table3[Result],Table3[Round],W$2,Table3[SI],$A29,Table3[Year],T$1)</f>
        <v>0</v>
      </c>
      <c r="X29" s="7">
        <f>SUMIFS(Table3[Result],Table3[Round],X$2,Table3[SI],$A29,Table3[Year],T$1)</f>
        <v>0</v>
      </c>
      <c r="Y29" s="9">
        <f>SUMIFS(Table3[Result],Table3[SI],$A29,Table3[Year],T$1)</f>
        <v>1</v>
      </c>
    </row>
    <row r="30" spans="1:25" ht="14.25" customHeight="1" x14ac:dyDescent="0.2">
      <c r="A30" s="4" t="s">
        <v>221</v>
      </c>
      <c r="B30" s="6">
        <f>SUMIFS(Table3[Result],Table3[Round],B$2,Table3[SI],$A30,Table3[Year],B$1)</f>
        <v>0</v>
      </c>
      <c r="C30" s="6">
        <f>SUMIFS(Table3[Result],Table3[Round],C$2,Table3[SI],$A30,Table3[Year],B$1)</f>
        <v>0</v>
      </c>
      <c r="D30" s="6">
        <f>SUMIFS(Table3[Result],Table3[Round],D$2,Table3[SI],$A30,Table3[Year],B$1)</f>
        <v>0</v>
      </c>
      <c r="E30" s="6">
        <f>SUMIFS(Table3[Result],Table3[Round],E$2,Table3[SI],$A30,Table3[Year],B$1)</f>
        <v>0</v>
      </c>
      <c r="F30" s="6">
        <f>SUMIFS(Table3[Result],Table3[Round],F$2,Table3[SI],$A30,Table3[Year],B$1)</f>
        <v>0</v>
      </c>
      <c r="G30" s="8">
        <f>SUMIFS(Table3[Result],Table3[SI],$A30,Table3[Year],B$1)</f>
        <v>0</v>
      </c>
      <c r="H30" s="7">
        <f>SUMIFS(Table3[Result],Table3[Round],H$2,Table3[SI],$A30,Table3[Year],H$1)</f>
        <v>0</v>
      </c>
      <c r="I30" s="7">
        <f>SUMIFS(Table3[Result],Table3[Round],I$2,Table3[SI],$A30,Table3[Year],H$1)</f>
        <v>0</v>
      </c>
      <c r="J30" s="7">
        <f>SUMIFS(Table3[Result],Table3[Round],J$2,Table3[SI],$A30,Table3[Year],H$1)</f>
        <v>0</v>
      </c>
      <c r="K30" s="7">
        <f>SUMIFS(Table3[Result],Table3[Round],K$2,Table3[SI],$A30,Table3[Year],H$1)</f>
        <v>0</v>
      </c>
      <c r="L30" s="7">
        <f>SUMIFS(Table3[Result],Table3[Round],L$2,Table3[SI],$A30,Table3[Year],H$1)</f>
        <v>0</v>
      </c>
      <c r="M30" s="9">
        <f>SUMIFS(Table3[Result],Table3[SI],$A30,Table3[Year],H$1)</f>
        <v>0</v>
      </c>
      <c r="N30" s="6">
        <f>SUMIFS(Table3[Result],Table3[Round],N$2,Table3[SI],$A30,Table3[Year],N$1)</f>
        <v>0</v>
      </c>
      <c r="O30" s="6">
        <f>SUMIFS(Table3[Result],Table3[Round],O$2,Table3[SI],$A30,Table3[Year],N$1)</f>
        <v>0</v>
      </c>
      <c r="P30" s="6">
        <f>SUMIFS(Table3[Result],Table3[Round],P$2,Table3[SI],$A30,Table3[Year],N$1)</f>
        <v>0</v>
      </c>
      <c r="Q30" s="6">
        <f>SUMIFS(Table3[Result],Table3[Round],Q$2,Table3[SI],$A30,Table3[Year],N$1)</f>
        <v>1</v>
      </c>
      <c r="R30" s="6">
        <f>SUMIFS(Table3[Result],Table3[Round],R$2,Table3[SI],$A30,Table3[Year],N$1)</f>
        <v>0</v>
      </c>
      <c r="S30" s="8">
        <f>SUMIFS(Table3[Result],Table3[SI],$A30,Table3[Year],N$1)</f>
        <v>1</v>
      </c>
      <c r="T30" s="7">
        <f>SUMIFS(Table3[Result],Table3[Round],T$2,Table3[SI],$A30,Table3[Year],T$1)</f>
        <v>0</v>
      </c>
      <c r="U30" s="7">
        <f>SUMIFS(Table3[Result],Table3[Round],U$2,Table3[SI],$A30,Table3[Year],T$1)</f>
        <v>0</v>
      </c>
      <c r="V30" s="7">
        <f>SUMIFS(Table3[Result],Table3[Round],V$2,Table3[SI],$A30,Table3[Year],T$1)</f>
        <v>0</v>
      </c>
      <c r="W30" s="7">
        <f>SUMIFS(Table3[Result],Table3[Round],W$2,Table3[SI],$A30,Table3[Year],T$1)</f>
        <v>0</v>
      </c>
      <c r="X30" s="7">
        <f>SUMIFS(Table3[Result],Table3[Round],X$2,Table3[SI],$A30,Table3[Year],T$1)</f>
        <v>0</v>
      </c>
      <c r="Y30" s="9">
        <f>SUMIFS(Table3[Result],Table3[SI],$A30,Table3[Year],T$1)</f>
        <v>0</v>
      </c>
    </row>
    <row r="31" spans="1:25" ht="14.25" customHeight="1" x14ac:dyDescent="0.2">
      <c r="A31" s="4" t="s">
        <v>223</v>
      </c>
      <c r="B31" s="6">
        <f>SUMIFS(Table3[Result],Table3[Round],B$2,Table3[SI],$A31,Table3[Year],B$1)</f>
        <v>0</v>
      </c>
      <c r="C31" s="6">
        <f>SUMIFS(Table3[Result],Table3[Round],C$2,Table3[SI],$A31,Table3[Year],B$1)</f>
        <v>0</v>
      </c>
      <c r="D31" s="6">
        <f>SUMIFS(Table3[Result],Table3[Round],D$2,Table3[SI],$A31,Table3[Year],B$1)</f>
        <v>0</v>
      </c>
      <c r="E31" s="6">
        <f>SUMIFS(Table3[Result],Table3[Round],E$2,Table3[SI],$A31,Table3[Year],B$1)</f>
        <v>0</v>
      </c>
      <c r="F31" s="6">
        <f>SUMIFS(Table3[Result],Table3[Round],F$2,Table3[SI],$A31,Table3[Year],B$1)</f>
        <v>0</v>
      </c>
      <c r="G31" s="8">
        <f>SUMIFS(Table3[Result],Table3[SI],$A31,Table3[Year],B$1)</f>
        <v>0</v>
      </c>
      <c r="H31" s="7">
        <f>SUMIFS(Table3[Result],Table3[Round],H$2,Table3[SI],$A31,Table3[Year],H$1)</f>
        <v>0</v>
      </c>
      <c r="I31" s="7">
        <f>SUMIFS(Table3[Result],Table3[Round],I$2,Table3[SI],$A31,Table3[Year],H$1)</f>
        <v>0</v>
      </c>
      <c r="J31" s="7">
        <f>SUMIFS(Table3[Result],Table3[Round],J$2,Table3[SI],$A31,Table3[Year],H$1)</f>
        <v>0</v>
      </c>
      <c r="K31" s="7">
        <f>SUMIFS(Table3[Result],Table3[Round],K$2,Table3[SI],$A31,Table3[Year],H$1)</f>
        <v>0</v>
      </c>
      <c r="L31" s="7">
        <f>SUMIFS(Table3[Result],Table3[Round],L$2,Table3[SI],$A31,Table3[Year],H$1)</f>
        <v>0</v>
      </c>
      <c r="M31" s="9">
        <f>SUMIFS(Table3[Result],Table3[SI],$A31,Table3[Year],H$1)</f>
        <v>0</v>
      </c>
      <c r="N31" s="6">
        <f>SUMIFS(Table3[Result],Table3[Round],N$2,Table3[SI],$A31,Table3[Year],N$1)</f>
        <v>0</v>
      </c>
      <c r="O31" s="6">
        <f>SUMIFS(Table3[Result],Table3[Round],O$2,Table3[SI],$A31,Table3[Year],N$1)</f>
        <v>0</v>
      </c>
      <c r="P31" s="6">
        <f>SUMIFS(Table3[Result],Table3[Round],P$2,Table3[SI],$A31,Table3[Year],N$1)</f>
        <v>1</v>
      </c>
      <c r="Q31" s="6">
        <f>SUMIFS(Table3[Result],Table3[Round],Q$2,Table3[SI],$A31,Table3[Year],N$1)</f>
        <v>8</v>
      </c>
      <c r="R31" s="6">
        <f>SUMIFS(Table3[Result],Table3[Round],R$2,Table3[SI],$A31,Table3[Year],N$1)</f>
        <v>0</v>
      </c>
      <c r="S31" s="8">
        <f>SUMIFS(Table3[Result],Table3[SI],$A31,Table3[Year],N$1)</f>
        <v>9</v>
      </c>
      <c r="T31" s="7">
        <f>SUMIFS(Table3[Result],Table3[Round],T$2,Table3[SI],$A31,Table3[Year],T$1)</f>
        <v>0</v>
      </c>
      <c r="U31" s="7">
        <f>SUMIFS(Table3[Result],Table3[Round],U$2,Table3[SI],$A31,Table3[Year],T$1)</f>
        <v>0</v>
      </c>
      <c r="V31" s="7">
        <f>SUMIFS(Table3[Result],Table3[Round],V$2,Table3[SI],$A31,Table3[Year],T$1)</f>
        <v>0</v>
      </c>
      <c r="W31" s="7">
        <f>SUMIFS(Table3[Result],Table3[Round],W$2,Table3[SI],$A31,Table3[Year],T$1)</f>
        <v>8</v>
      </c>
      <c r="X31" s="7">
        <f>SUMIFS(Table3[Result],Table3[Round],X$2,Table3[SI],$A31,Table3[Year],T$1)</f>
        <v>0</v>
      </c>
      <c r="Y31" s="9">
        <f>SUMIFS(Table3[Result],Table3[SI],$A31,Table3[Year],T$1)</f>
        <v>8</v>
      </c>
    </row>
    <row r="32" spans="1:25" ht="14.25" customHeight="1" x14ac:dyDescent="0.2">
      <c r="A32" s="4" t="s">
        <v>225</v>
      </c>
      <c r="B32" s="6">
        <f>SUMIFS(Table3[Result],Table3[Round],B$2,Table3[SI],$A32,Table3[Year],B$1)</f>
        <v>0</v>
      </c>
      <c r="C32" s="6">
        <f>SUMIFS(Table3[Result],Table3[Round],C$2,Table3[SI],$A32,Table3[Year],B$1)</f>
        <v>0</v>
      </c>
      <c r="D32" s="6">
        <f>SUMIFS(Table3[Result],Table3[Round],D$2,Table3[SI],$A32,Table3[Year],B$1)</f>
        <v>0</v>
      </c>
      <c r="E32" s="6">
        <f>SUMIFS(Table3[Result],Table3[Round],E$2,Table3[SI],$A32,Table3[Year],B$1)</f>
        <v>0</v>
      </c>
      <c r="F32" s="6">
        <f>SUMIFS(Table3[Result],Table3[Round],F$2,Table3[SI],$A32,Table3[Year],B$1)</f>
        <v>0</v>
      </c>
      <c r="G32" s="8">
        <f>SUMIFS(Table3[Result],Table3[SI],$A32,Table3[Year],B$1)</f>
        <v>0</v>
      </c>
      <c r="H32" s="7">
        <f>SUMIFS(Table3[Result],Table3[Round],H$2,Table3[SI],$A32,Table3[Year],H$1)</f>
        <v>0</v>
      </c>
      <c r="I32" s="7">
        <f>SUMIFS(Table3[Result],Table3[Round],I$2,Table3[SI],$A32,Table3[Year],H$1)</f>
        <v>0</v>
      </c>
      <c r="J32" s="7">
        <f>SUMIFS(Table3[Result],Table3[Round],J$2,Table3[SI],$A32,Table3[Year],H$1)</f>
        <v>0</v>
      </c>
      <c r="K32" s="7">
        <f>SUMIFS(Table3[Result],Table3[Round],K$2,Table3[SI],$A32,Table3[Year],H$1)</f>
        <v>0</v>
      </c>
      <c r="L32" s="7">
        <f>SUMIFS(Table3[Result],Table3[Round],L$2,Table3[SI],$A32,Table3[Year],H$1)</f>
        <v>0</v>
      </c>
      <c r="M32" s="9">
        <f>SUMIFS(Table3[Result],Table3[SI],$A32,Table3[Year],H$1)</f>
        <v>0</v>
      </c>
      <c r="N32" s="6">
        <f>SUMIFS(Table3[Result],Table3[Round],N$2,Table3[SI],$A32,Table3[Year],N$1)</f>
        <v>0</v>
      </c>
      <c r="O32" s="6">
        <f>SUMIFS(Table3[Result],Table3[Round],O$2,Table3[SI],$A32,Table3[Year],N$1)</f>
        <v>0</v>
      </c>
      <c r="P32" s="6">
        <f>SUMIFS(Table3[Result],Table3[Round],P$2,Table3[SI],$A32,Table3[Year],N$1)</f>
        <v>0</v>
      </c>
      <c r="Q32" s="6">
        <f>SUMIFS(Table3[Result],Table3[Round],Q$2,Table3[SI],$A32,Table3[Year],N$1)</f>
        <v>0</v>
      </c>
      <c r="R32" s="6">
        <f>SUMIFS(Table3[Result],Table3[Round],R$2,Table3[SI],$A32,Table3[Year],N$1)</f>
        <v>0</v>
      </c>
      <c r="S32" s="8">
        <f>SUMIFS(Table3[Result],Table3[SI],$A32,Table3[Year],N$1)</f>
        <v>0</v>
      </c>
      <c r="T32" s="7">
        <f>SUMIFS(Table3[Result],Table3[Round],T$2,Table3[SI],$A32,Table3[Year],T$1)</f>
        <v>0</v>
      </c>
      <c r="U32" s="7">
        <f>SUMIFS(Table3[Result],Table3[Round],U$2,Table3[SI],$A32,Table3[Year],T$1)</f>
        <v>0</v>
      </c>
      <c r="V32" s="7">
        <f>SUMIFS(Table3[Result],Table3[Round],V$2,Table3[SI],$A32,Table3[Year],T$1)</f>
        <v>0</v>
      </c>
      <c r="W32" s="7">
        <f>SUMIFS(Table3[Result],Table3[Round],W$2,Table3[SI],$A32,Table3[Year],T$1)</f>
        <v>0</v>
      </c>
      <c r="X32" s="7">
        <f>SUMIFS(Table3[Result],Table3[Round],X$2,Table3[SI],$A32,Table3[Year],T$1)</f>
        <v>0</v>
      </c>
      <c r="Y32" s="9">
        <f>SUMIFS(Table3[Result],Table3[SI],$A32,Table3[Year],T$1)</f>
        <v>0</v>
      </c>
    </row>
    <row r="33" spans="1:25" ht="14.25" customHeight="1" x14ac:dyDescent="0.2">
      <c r="A33" s="4" t="s">
        <v>227</v>
      </c>
      <c r="B33" s="6">
        <f>SUMIFS(Table3[Result],Table3[Round],B$2,Table3[SI],$A33,Table3[Year],B$1)</f>
        <v>0</v>
      </c>
      <c r="C33" s="6">
        <f>SUMIFS(Table3[Result],Table3[Round],C$2,Table3[SI],$A33,Table3[Year],B$1)</f>
        <v>0</v>
      </c>
      <c r="D33" s="6">
        <f>SUMIFS(Table3[Result],Table3[Round],D$2,Table3[SI],$A33,Table3[Year],B$1)</f>
        <v>0</v>
      </c>
      <c r="E33" s="6">
        <f>SUMIFS(Table3[Result],Table3[Round],E$2,Table3[SI],$A33,Table3[Year],B$1)</f>
        <v>0</v>
      </c>
      <c r="F33" s="6">
        <f>SUMIFS(Table3[Result],Table3[Round],F$2,Table3[SI],$A33,Table3[Year],B$1)</f>
        <v>0</v>
      </c>
      <c r="G33" s="8">
        <f>SUMIFS(Table3[Result],Table3[SI],$A33,Table3[Year],B$1)</f>
        <v>0</v>
      </c>
      <c r="H33" s="7">
        <f>SUMIFS(Table3[Result],Table3[Round],H$2,Table3[SI],$A33,Table3[Year],H$1)</f>
        <v>0</v>
      </c>
      <c r="I33" s="7">
        <f>SUMIFS(Table3[Result],Table3[Round],I$2,Table3[SI],$A33,Table3[Year],H$1)</f>
        <v>0</v>
      </c>
      <c r="J33" s="7">
        <f>SUMIFS(Table3[Result],Table3[Round],J$2,Table3[SI],$A33,Table3[Year],H$1)</f>
        <v>0</v>
      </c>
      <c r="K33" s="7">
        <f>SUMIFS(Table3[Result],Table3[Round],K$2,Table3[SI],$A33,Table3[Year],H$1)</f>
        <v>0</v>
      </c>
      <c r="L33" s="7">
        <f>SUMIFS(Table3[Result],Table3[Round],L$2,Table3[SI],$A33,Table3[Year],H$1)</f>
        <v>0</v>
      </c>
      <c r="M33" s="9">
        <f>SUMIFS(Table3[Result],Table3[SI],$A33,Table3[Year],H$1)</f>
        <v>0</v>
      </c>
      <c r="N33" s="6">
        <f>SUMIFS(Table3[Result],Table3[Round],N$2,Table3[SI],$A33,Table3[Year],N$1)</f>
        <v>0</v>
      </c>
      <c r="O33" s="6">
        <f>SUMIFS(Table3[Result],Table3[Round],O$2,Table3[SI],$A33,Table3[Year],N$1)</f>
        <v>0</v>
      </c>
      <c r="P33" s="6">
        <f>SUMIFS(Table3[Result],Table3[Round],P$2,Table3[SI],$A33,Table3[Year],N$1)</f>
        <v>1</v>
      </c>
      <c r="Q33" s="6">
        <f>SUMIFS(Table3[Result],Table3[Round],Q$2,Table3[SI],$A33,Table3[Year],N$1)</f>
        <v>0</v>
      </c>
      <c r="R33" s="6">
        <f>SUMIFS(Table3[Result],Table3[Round],R$2,Table3[SI],$A33,Table3[Year],N$1)</f>
        <v>0</v>
      </c>
      <c r="S33" s="8">
        <f>SUMIFS(Table3[Result],Table3[SI],$A33,Table3[Year],N$1)</f>
        <v>1</v>
      </c>
      <c r="T33" s="7">
        <f>SUMIFS(Table3[Result],Table3[Round],T$2,Table3[SI],$A33,Table3[Year],T$1)</f>
        <v>0</v>
      </c>
      <c r="U33" s="7">
        <f>SUMIFS(Table3[Result],Table3[Round],U$2,Table3[SI],$A33,Table3[Year],T$1)</f>
        <v>0</v>
      </c>
      <c r="V33" s="7">
        <f>SUMIFS(Table3[Result],Table3[Round],V$2,Table3[SI],$A33,Table3[Year],T$1)</f>
        <v>0</v>
      </c>
      <c r="W33" s="7">
        <f>SUMIFS(Table3[Result],Table3[Round],W$2,Table3[SI],$A33,Table3[Year],T$1)</f>
        <v>0</v>
      </c>
      <c r="X33" s="7">
        <f>SUMIFS(Table3[Result],Table3[Round],X$2,Table3[SI],$A33,Table3[Year],T$1)</f>
        <v>0</v>
      </c>
      <c r="Y33" s="9">
        <f>SUMIFS(Table3[Result],Table3[SI],$A33,Table3[Year],T$1)</f>
        <v>0</v>
      </c>
    </row>
    <row r="34" spans="1:25" ht="14.25" customHeight="1" x14ac:dyDescent="0.2">
      <c r="A34" s="4" t="s">
        <v>230</v>
      </c>
      <c r="B34" s="6">
        <f>SUMIFS(Table3[Result],Table3[Round],B$2,Table3[SI],$A34,Table3[Year],B$1)</f>
        <v>0</v>
      </c>
      <c r="C34" s="6">
        <f>SUMIFS(Table3[Result],Table3[Round],C$2,Table3[SI],$A34,Table3[Year],B$1)</f>
        <v>0</v>
      </c>
      <c r="D34" s="6">
        <f>SUMIFS(Table3[Result],Table3[Round],D$2,Table3[SI],$A34,Table3[Year],B$1)</f>
        <v>0</v>
      </c>
      <c r="E34" s="6">
        <f>SUMIFS(Table3[Result],Table3[Round],E$2,Table3[SI],$A34,Table3[Year],B$1)</f>
        <v>0</v>
      </c>
      <c r="F34" s="6">
        <f>SUMIFS(Table3[Result],Table3[Round],F$2,Table3[SI],$A34,Table3[Year],B$1)</f>
        <v>0</v>
      </c>
      <c r="G34" s="8">
        <f>SUMIFS(Table3[Result],Table3[SI],$A34,Table3[Year],B$1)</f>
        <v>0</v>
      </c>
      <c r="H34" s="7">
        <f>SUMIFS(Table3[Result],Table3[Round],H$2,Table3[SI],$A34,Table3[Year],H$1)</f>
        <v>0</v>
      </c>
      <c r="I34" s="7">
        <f>SUMIFS(Table3[Result],Table3[Round],I$2,Table3[SI],$A34,Table3[Year],H$1)</f>
        <v>0</v>
      </c>
      <c r="J34" s="7">
        <f>SUMIFS(Table3[Result],Table3[Round],J$2,Table3[SI],$A34,Table3[Year],H$1)</f>
        <v>0</v>
      </c>
      <c r="K34" s="7">
        <f>SUMIFS(Table3[Result],Table3[Round],K$2,Table3[SI],$A34,Table3[Year],H$1)</f>
        <v>0</v>
      </c>
      <c r="L34" s="7">
        <f>SUMIFS(Table3[Result],Table3[Round],L$2,Table3[SI],$A34,Table3[Year],H$1)</f>
        <v>0</v>
      </c>
      <c r="M34" s="9">
        <f>SUMIFS(Table3[Result],Table3[SI],$A34,Table3[Year],H$1)</f>
        <v>0</v>
      </c>
      <c r="N34" s="6">
        <f>SUMIFS(Table3[Result],Table3[Round],N$2,Table3[SI],$A34,Table3[Year],N$1)</f>
        <v>0</v>
      </c>
      <c r="O34" s="6">
        <f>SUMIFS(Table3[Result],Table3[Round],O$2,Table3[SI],$A34,Table3[Year],N$1)</f>
        <v>0</v>
      </c>
      <c r="P34" s="6">
        <f>SUMIFS(Table3[Result],Table3[Round],P$2,Table3[SI],$A34,Table3[Year],N$1)</f>
        <v>0</v>
      </c>
      <c r="Q34" s="6">
        <f>SUMIFS(Table3[Result],Table3[Round],Q$2,Table3[SI],$A34,Table3[Year],N$1)</f>
        <v>0</v>
      </c>
      <c r="R34" s="6">
        <f>SUMIFS(Table3[Result],Table3[Round],R$2,Table3[SI],$A34,Table3[Year],N$1)</f>
        <v>0</v>
      </c>
      <c r="S34" s="8">
        <f>SUMIFS(Table3[Result],Table3[SI],$A34,Table3[Year],N$1)</f>
        <v>0</v>
      </c>
      <c r="T34" s="7">
        <f>SUMIFS(Table3[Result],Table3[Round],T$2,Table3[SI],$A34,Table3[Year],T$1)</f>
        <v>0</v>
      </c>
      <c r="U34" s="7">
        <f>SUMIFS(Table3[Result],Table3[Round],U$2,Table3[SI],$A34,Table3[Year],T$1)</f>
        <v>0</v>
      </c>
      <c r="V34" s="7">
        <f>SUMIFS(Table3[Result],Table3[Round],V$2,Table3[SI],$A34,Table3[Year],T$1)</f>
        <v>3</v>
      </c>
      <c r="W34" s="7">
        <f>SUMIFS(Table3[Result],Table3[Round],W$2,Table3[SI],$A34,Table3[Year],T$1)</f>
        <v>0</v>
      </c>
      <c r="X34" s="7">
        <f>SUMIFS(Table3[Result],Table3[Round],X$2,Table3[SI],$A34,Table3[Year],T$1)</f>
        <v>0</v>
      </c>
      <c r="Y34" s="9">
        <f>SUMIFS(Table3[Result],Table3[SI],$A34,Table3[Year],T$1)</f>
        <v>3</v>
      </c>
    </row>
    <row r="35" spans="1:25" ht="14.25" customHeight="1" x14ac:dyDescent="0.2">
      <c r="A35" s="4" t="s">
        <v>232</v>
      </c>
      <c r="B35" s="6">
        <f>SUMIFS(Table3[Result],Table3[Round],B$2,Table3[SI],$A35,Table3[Year],B$1)</f>
        <v>0</v>
      </c>
      <c r="C35" s="6">
        <f>SUMIFS(Table3[Result],Table3[Round],C$2,Table3[SI],$A35,Table3[Year],B$1)</f>
        <v>0</v>
      </c>
      <c r="D35" s="6">
        <f>SUMIFS(Table3[Result],Table3[Round],D$2,Table3[SI],$A35,Table3[Year],B$1)</f>
        <v>0</v>
      </c>
      <c r="E35" s="6">
        <f>SUMIFS(Table3[Result],Table3[Round],E$2,Table3[SI],$A35,Table3[Year],B$1)</f>
        <v>0</v>
      </c>
      <c r="F35" s="6">
        <f>SUMIFS(Table3[Result],Table3[Round],F$2,Table3[SI],$A35,Table3[Year],B$1)</f>
        <v>0</v>
      </c>
      <c r="G35" s="8">
        <f>SUMIFS(Table3[Result],Table3[SI],$A35,Table3[Year],B$1)</f>
        <v>0</v>
      </c>
      <c r="H35" s="7">
        <f>SUMIFS(Table3[Result],Table3[Round],H$2,Table3[SI],$A35,Table3[Year],H$1)</f>
        <v>0</v>
      </c>
      <c r="I35" s="7">
        <f>SUMIFS(Table3[Result],Table3[Round],I$2,Table3[SI],$A35,Table3[Year],H$1)</f>
        <v>0</v>
      </c>
      <c r="J35" s="7">
        <f>SUMIFS(Table3[Result],Table3[Round],J$2,Table3[SI],$A35,Table3[Year],H$1)</f>
        <v>0</v>
      </c>
      <c r="K35" s="7">
        <f>SUMIFS(Table3[Result],Table3[Round],K$2,Table3[SI],$A35,Table3[Year],H$1)</f>
        <v>0</v>
      </c>
      <c r="L35" s="7">
        <f>SUMIFS(Table3[Result],Table3[Round],L$2,Table3[SI],$A35,Table3[Year],H$1)</f>
        <v>0</v>
      </c>
      <c r="M35" s="9">
        <f>SUMIFS(Table3[Result],Table3[SI],$A35,Table3[Year],H$1)</f>
        <v>0</v>
      </c>
      <c r="N35" s="6">
        <f>SUMIFS(Table3[Result],Table3[Round],N$2,Table3[SI],$A35,Table3[Year],N$1)</f>
        <v>0</v>
      </c>
      <c r="O35" s="6">
        <f>SUMIFS(Table3[Result],Table3[Round],O$2,Table3[SI],$A35,Table3[Year],N$1)</f>
        <v>0</v>
      </c>
      <c r="P35" s="6">
        <f>SUMIFS(Table3[Result],Table3[Round],P$2,Table3[SI],$A35,Table3[Year],N$1)</f>
        <v>0</v>
      </c>
      <c r="Q35" s="6">
        <f>SUMIFS(Table3[Result],Table3[Round],Q$2,Table3[SI],$A35,Table3[Year],N$1)</f>
        <v>0</v>
      </c>
      <c r="R35" s="6">
        <f>SUMIFS(Table3[Result],Table3[Round],R$2,Table3[SI],$A35,Table3[Year],N$1)</f>
        <v>0</v>
      </c>
      <c r="S35" s="8">
        <f>SUMIFS(Table3[Result],Table3[SI],$A35,Table3[Year],N$1)</f>
        <v>0</v>
      </c>
      <c r="T35" s="7">
        <f>SUMIFS(Table3[Result],Table3[Round],T$2,Table3[SI],$A35,Table3[Year],T$1)</f>
        <v>0</v>
      </c>
      <c r="U35" s="7">
        <f>SUMIFS(Table3[Result],Table3[Round],U$2,Table3[SI],$A35,Table3[Year],T$1)</f>
        <v>0</v>
      </c>
      <c r="V35" s="7">
        <f>SUMIFS(Table3[Result],Table3[Round],V$2,Table3[SI],$A35,Table3[Year],T$1)</f>
        <v>0</v>
      </c>
      <c r="W35" s="7">
        <f>SUMIFS(Table3[Result],Table3[Round],W$2,Table3[SI],$A35,Table3[Year],T$1)</f>
        <v>0</v>
      </c>
      <c r="X35" s="7">
        <f>SUMIFS(Table3[Result],Table3[Round],X$2,Table3[SI],$A35,Table3[Year],T$1)</f>
        <v>4</v>
      </c>
      <c r="Y35" s="9">
        <f>SUMIFS(Table3[Result],Table3[SI],$A35,Table3[Year],T$1)</f>
        <v>4</v>
      </c>
    </row>
    <row r="36" spans="1:25" ht="14.25" customHeight="1" x14ac:dyDescent="0.2">
      <c r="A36" s="4" t="s">
        <v>234</v>
      </c>
      <c r="B36" s="6">
        <f>SUMIFS(Table3[Result],Table3[Round],B$2,Table3[SI],$A36,Table3[Year],B$1)</f>
        <v>0</v>
      </c>
      <c r="C36" s="6">
        <f>SUMIFS(Table3[Result],Table3[Round],C$2,Table3[SI],$A36,Table3[Year],B$1)</f>
        <v>0</v>
      </c>
      <c r="D36" s="6">
        <f>SUMIFS(Table3[Result],Table3[Round],D$2,Table3[SI],$A36,Table3[Year],B$1)</f>
        <v>0</v>
      </c>
      <c r="E36" s="6">
        <f>SUMIFS(Table3[Result],Table3[Round],E$2,Table3[SI],$A36,Table3[Year],B$1)</f>
        <v>0</v>
      </c>
      <c r="F36" s="6">
        <f>SUMIFS(Table3[Result],Table3[Round],F$2,Table3[SI],$A36,Table3[Year],B$1)</f>
        <v>0</v>
      </c>
      <c r="G36" s="8">
        <f>SUMIFS(Table3[Result],Table3[SI],$A36,Table3[Year],B$1)</f>
        <v>0</v>
      </c>
      <c r="H36" s="7">
        <f>SUMIFS(Table3[Result],Table3[Round],H$2,Table3[SI],$A36,Table3[Year],H$1)</f>
        <v>0</v>
      </c>
      <c r="I36" s="7">
        <f>SUMIFS(Table3[Result],Table3[Round],I$2,Table3[SI],$A36,Table3[Year],H$1)</f>
        <v>0</v>
      </c>
      <c r="J36" s="7">
        <f>SUMIFS(Table3[Result],Table3[Round],J$2,Table3[SI],$A36,Table3[Year],H$1)</f>
        <v>0</v>
      </c>
      <c r="K36" s="7">
        <f>SUMIFS(Table3[Result],Table3[Round],K$2,Table3[SI],$A36,Table3[Year],H$1)</f>
        <v>0</v>
      </c>
      <c r="L36" s="7">
        <f>SUMIFS(Table3[Result],Table3[Round],L$2,Table3[SI],$A36,Table3[Year],H$1)</f>
        <v>0</v>
      </c>
      <c r="M36" s="9">
        <f>SUMIFS(Table3[Result],Table3[SI],$A36,Table3[Year],H$1)</f>
        <v>0</v>
      </c>
      <c r="N36" s="6">
        <f>SUMIFS(Table3[Result],Table3[Round],N$2,Table3[SI],$A36,Table3[Year],N$1)</f>
        <v>0</v>
      </c>
      <c r="O36" s="6">
        <f>SUMIFS(Table3[Result],Table3[Round],O$2,Table3[SI],$A36,Table3[Year],N$1)</f>
        <v>0</v>
      </c>
      <c r="P36" s="6">
        <f>SUMIFS(Table3[Result],Table3[Round],P$2,Table3[SI],$A36,Table3[Year],N$1)</f>
        <v>0</v>
      </c>
      <c r="Q36" s="6">
        <f>SUMIFS(Table3[Result],Table3[Round],Q$2,Table3[SI],$A36,Table3[Year],N$1)</f>
        <v>0</v>
      </c>
      <c r="R36" s="6">
        <f>SUMIFS(Table3[Result],Table3[Round],R$2,Table3[SI],$A36,Table3[Year],N$1)</f>
        <v>0</v>
      </c>
      <c r="S36" s="8">
        <f>SUMIFS(Table3[Result],Table3[SI],$A36,Table3[Year],N$1)</f>
        <v>0</v>
      </c>
      <c r="T36" s="7">
        <f>SUMIFS(Table3[Result],Table3[Round],T$2,Table3[SI],$A36,Table3[Year],T$1)</f>
        <v>0</v>
      </c>
      <c r="U36" s="7">
        <f>SUMIFS(Table3[Result],Table3[Round],U$2,Table3[SI],$A36,Table3[Year],T$1)</f>
        <v>0</v>
      </c>
      <c r="V36" s="7">
        <f>SUMIFS(Table3[Result],Table3[Round],V$2,Table3[SI],$A36,Table3[Year],T$1)</f>
        <v>0</v>
      </c>
      <c r="W36" s="7">
        <f>SUMIFS(Table3[Result],Table3[Round],W$2,Table3[SI],$A36,Table3[Year],T$1)</f>
        <v>0</v>
      </c>
      <c r="X36" s="7">
        <f>SUMIFS(Table3[Result],Table3[Round],X$2,Table3[SI],$A36,Table3[Year],T$1)</f>
        <v>0</v>
      </c>
      <c r="Y36" s="9">
        <f>SUMIFS(Table3[Result],Table3[SI],$A36,Table3[Year],T$1)</f>
        <v>0</v>
      </c>
    </row>
    <row r="37" spans="1:25" ht="14.25" customHeight="1" x14ac:dyDescent="0.2">
      <c r="A37" s="4" t="s">
        <v>236</v>
      </c>
      <c r="B37" s="6">
        <f>SUMIFS(Table3[Result],Table3[Round],B$2,Table3[SI],$A37,Table3[Year],B$1)</f>
        <v>0</v>
      </c>
      <c r="C37" s="6">
        <f>SUMIFS(Table3[Result],Table3[Round],C$2,Table3[SI],$A37,Table3[Year],B$1)</f>
        <v>0</v>
      </c>
      <c r="D37" s="6">
        <f>SUMIFS(Table3[Result],Table3[Round],D$2,Table3[SI],$A37,Table3[Year],B$1)</f>
        <v>0</v>
      </c>
      <c r="E37" s="6">
        <f>SUMIFS(Table3[Result],Table3[Round],E$2,Table3[SI],$A37,Table3[Year],B$1)</f>
        <v>0</v>
      </c>
      <c r="F37" s="6">
        <f>SUMIFS(Table3[Result],Table3[Round],F$2,Table3[SI],$A37,Table3[Year],B$1)</f>
        <v>0</v>
      </c>
      <c r="G37" s="8">
        <f>SUMIFS(Table3[Result],Table3[SI],$A37,Table3[Year],B$1)</f>
        <v>0</v>
      </c>
      <c r="H37" s="7">
        <f>SUMIFS(Table3[Result],Table3[Round],H$2,Table3[SI],$A37,Table3[Year],H$1)</f>
        <v>0</v>
      </c>
      <c r="I37" s="7">
        <f>SUMIFS(Table3[Result],Table3[Round],I$2,Table3[SI],$A37,Table3[Year],H$1)</f>
        <v>0</v>
      </c>
      <c r="J37" s="7">
        <f>SUMIFS(Table3[Result],Table3[Round],J$2,Table3[SI],$A37,Table3[Year],H$1)</f>
        <v>0</v>
      </c>
      <c r="K37" s="7">
        <f>SUMIFS(Table3[Result],Table3[Round],K$2,Table3[SI],$A37,Table3[Year],H$1)</f>
        <v>0</v>
      </c>
      <c r="L37" s="7">
        <f>SUMIFS(Table3[Result],Table3[Round],L$2,Table3[SI],$A37,Table3[Year],H$1)</f>
        <v>0</v>
      </c>
      <c r="M37" s="9">
        <f>SUMIFS(Table3[Result],Table3[SI],$A37,Table3[Year],H$1)</f>
        <v>0</v>
      </c>
      <c r="N37" s="6">
        <f>SUMIFS(Table3[Result],Table3[Round],N$2,Table3[SI],$A37,Table3[Year],N$1)</f>
        <v>0</v>
      </c>
      <c r="O37" s="6">
        <f>SUMIFS(Table3[Result],Table3[Round],O$2,Table3[SI],$A37,Table3[Year],N$1)</f>
        <v>0</v>
      </c>
      <c r="P37" s="6">
        <f>SUMIFS(Table3[Result],Table3[Round],P$2,Table3[SI],$A37,Table3[Year],N$1)</f>
        <v>0</v>
      </c>
      <c r="Q37" s="6">
        <f>SUMIFS(Table3[Result],Table3[Round],Q$2,Table3[SI],$A37,Table3[Year],N$1)</f>
        <v>0</v>
      </c>
      <c r="R37" s="6">
        <f>SUMIFS(Table3[Result],Table3[Round],R$2,Table3[SI],$A37,Table3[Year],N$1)</f>
        <v>0</v>
      </c>
      <c r="S37" s="8">
        <f>SUMIFS(Table3[Result],Table3[SI],$A37,Table3[Year],N$1)</f>
        <v>0</v>
      </c>
      <c r="T37" s="7">
        <f>SUMIFS(Table3[Result],Table3[Round],T$2,Table3[SI],$A37,Table3[Year],T$1)</f>
        <v>0</v>
      </c>
      <c r="U37" s="7">
        <f>SUMIFS(Table3[Result],Table3[Round],U$2,Table3[SI],$A37,Table3[Year],T$1)</f>
        <v>0</v>
      </c>
      <c r="V37" s="7">
        <f>SUMIFS(Table3[Result],Table3[Round],V$2,Table3[SI],$A37,Table3[Year],T$1)</f>
        <v>0</v>
      </c>
      <c r="W37" s="7">
        <f>SUMIFS(Table3[Result],Table3[Round],W$2,Table3[SI],$A37,Table3[Year],T$1)</f>
        <v>0</v>
      </c>
      <c r="X37" s="7">
        <f>SUMIFS(Table3[Result],Table3[Round],X$2,Table3[SI],$A37,Table3[Year],T$1)</f>
        <v>0</v>
      </c>
      <c r="Y37" s="9">
        <f>SUMIFS(Table3[Result],Table3[SI],$A37,Table3[Year],T$1)</f>
        <v>0</v>
      </c>
    </row>
    <row r="38" spans="1:25" ht="14.25" customHeight="1" x14ac:dyDescent="0.2">
      <c r="A38" s="4" t="s">
        <v>238</v>
      </c>
      <c r="B38" s="6">
        <f>SUMIFS(Table3[Result],Table3[Round],B$2,Table3[SI],$A38,Table3[Year],B$1)</f>
        <v>0</v>
      </c>
      <c r="C38" s="6">
        <f>SUMIFS(Table3[Result],Table3[Round],C$2,Table3[SI],$A38,Table3[Year],B$1)</f>
        <v>0</v>
      </c>
      <c r="D38" s="6">
        <f>SUMIFS(Table3[Result],Table3[Round],D$2,Table3[SI],$A38,Table3[Year],B$1)</f>
        <v>0</v>
      </c>
      <c r="E38" s="6">
        <f>SUMIFS(Table3[Result],Table3[Round],E$2,Table3[SI],$A38,Table3[Year],B$1)</f>
        <v>0</v>
      </c>
      <c r="F38" s="6">
        <f>SUMIFS(Table3[Result],Table3[Round],F$2,Table3[SI],$A38,Table3[Year],B$1)</f>
        <v>0</v>
      </c>
      <c r="G38" s="8">
        <f>SUMIFS(Table3[Result],Table3[SI],$A38,Table3[Year],B$1)</f>
        <v>0</v>
      </c>
      <c r="H38" s="7">
        <f>SUMIFS(Table3[Result],Table3[Round],H$2,Table3[SI],$A38,Table3[Year],H$1)</f>
        <v>0</v>
      </c>
      <c r="I38" s="7">
        <f>SUMIFS(Table3[Result],Table3[Round],I$2,Table3[SI],$A38,Table3[Year],H$1)</f>
        <v>0</v>
      </c>
      <c r="J38" s="7">
        <f>SUMIFS(Table3[Result],Table3[Round],J$2,Table3[SI],$A38,Table3[Year],H$1)</f>
        <v>1000</v>
      </c>
      <c r="K38" s="7">
        <f>SUMIFS(Table3[Result],Table3[Round],K$2,Table3[SI],$A38,Table3[Year],H$1)</f>
        <v>0</v>
      </c>
      <c r="L38" s="7">
        <f>SUMIFS(Table3[Result],Table3[Round],L$2,Table3[SI],$A38,Table3[Year],H$1)</f>
        <v>0</v>
      </c>
      <c r="M38" s="9">
        <f>SUMIFS(Table3[Result],Table3[SI],$A38,Table3[Year],H$1)</f>
        <v>1000</v>
      </c>
      <c r="N38" s="6">
        <f>SUMIFS(Table3[Result],Table3[Round],N$2,Table3[SI],$A38,Table3[Year],N$1)</f>
        <v>0</v>
      </c>
      <c r="O38" s="6">
        <f>SUMIFS(Table3[Result],Table3[Round],O$2,Table3[SI],$A38,Table3[Year],N$1)</f>
        <v>0</v>
      </c>
      <c r="P38" s="6">
        <f>SUMIFS(Table3[Result],Table3[Round],P$2,Table3[SI],$A38,Table3[Year],N$1)</f>
        <v>1000</v>
      </c>
      <c r="Q38" s="6">
        <f>SUMIFS(Table3[Result],Table3[Round],Q$2,Table3[SI],$A38,Table3[Year],N$1)</f>
        <v>162143</v>
      </c>
      <c r="R38" s="6">
        <f>SUMIFS(Table3[Result],Table3[Round],R$2,Table3[SI],$A38,Table3[Year],N$1)</f>
        <v>0</v>
      </c>
      <c r="S38" s="8">
        <f>SUMIFS(Table3[Result],Table3[SI],$A38,Table3[Year],N$1)</f>
        <v>163143</v>
      </c>
      <c r="T38" s="7">
        <f>SUMIFS(Table3[Result],Table3[Round],T$2,Table3[SI],$A38,Table3[Year],T$1)</f>
        <v>0</v>
      </c>
      <c r="U38" s="7">
        <f>SUMIFS(Table3[Result],Table3[Round],U$2,Table3[SI],$A38,Table3[Year],T$1)</f>
        <v>0</v>
      </c>
      <c r="V38" s="7">
        <f>SUMIFS(Table3[Result],Table3[Round],V$2,Table3[SI],$A38,Table3[Year],T$1)</f>
        <v>1464</v>
      </c>
      <c r="W38" s="7">
        <f>SUMIFS(Table3[Result],Table3[Round],W$2,Table3[SI],$A38,Table3[Year],T$1)</f>
        <v>246871</v>
      </c>
      <c r="X38" s="7">
        <f>SUMIFS(Table3[Result],Table3[Round],X$2,Table3[SI],$A38,Table3[Year],T$1)</f>
        <v>0</v>
      </c>
      <c r="Y38" s="9">
        <f>SUMIFS(Table3[Result],Table3[SI],$A38,Table3[Year],T$1)</f>
        <v>248335</v>
      </c>
    </row>
    <row r="39" spans="1:25" ht="14.25" customHeight="1" x14ac:dyDescent="0.2">
      <c r="A39" s="4" t="s">
        <v>240</v>
      </c>
      <c r="B39" s="6">
        <f>SUMIFS(Table3[Result],Table3[Round],B$2,Table3[SI],$A39,Table3[Year],B$1)</f>
        <v>0</v>
      </c>
      <c r="C39" s="6">
        <f>SUMIFS(Table3[Result],Table3[Round],C$2,Table3[SI],$A39,Table3[Year],B$1)</f>
        <v>0</v>
      </c>
      <c r="D39" s="6">
        <f>SUMIFS(Table3[Result],Table3[Round],D$2,Table3[SI],$A39,Table3[Year],B$1)</f>
        <v>0</v>
      </c>
      <c r="E39" s="6">
        <f>SUMIFS(Table3[Result],Table3[Round],E$2,Table3[SI],$A39,Table3[Year],B$1)</f>
        <v>0</v>
      </c>
      <c r="F39" s="6">
        <f>SUMIFS(Table3[Result],Table3[Round],F$2,Table3[SI],$A39,Table3[Year],B$1)</f>
        <v>0</v>
      </c>
      <c r="G39" s="8">
        <f>SUMIFS(Table3[Result],Table3[SI],$A39,Table3[Year],B$1)</f>
        <v>0</v>
      </c>
      <c r="H39" s="7">
        <f>SUMIFS(Table3[Result],Table3[Round],H$2,Table3[SI],$A39,Table3[Year],H$1)</f>
        <v>0</v>
      </c>
      <c r="I39" s="7">
        <f>SUMIFS(Table3[Result],Table3[Round],I$2,Table3[SI],$A39,Table3[Year],H$1)</f>
        <v>0</v>
      </c>
      <c r="J39" s="7">
        <f>SUMIFS(Table3[Result],Table3[Round],J$2,Table3[SI],$A39,Table3[Year],H$1)</f>
        <v>0</v>
      </c>
      <c r="K39" s="7">
        <f>SUMIFS(Table3[Result],Table3[Round],K$2,Table3[SI],$A39,Table3[Year],H$1)</f>
        <v>0</v>
      </c>
      <c r="L39" s="7">
        <f>SUMIFS(Table3[Result],Table3[Round],L$2,Table3[SI],$A39,Table3[Year],H$1)</f>
        <v>0</v>
      </c>
      <c r="M39" s="9">
        <f>SUMIFS(Table3[Result],Table3[SI],$A39,Table3[Year],H$1)</f>
        <v>0</v>
      </c>
      <c r="N39" s="6">
        <f>SUMIFS(Table3[Result],Table3[Round],N$2,Table3[SI],$A39,Table3[Year],N$1)</f>
        <v>0</v>
      </c>
      <c r="O39" s="6">
        <f>SUMIFS(Table3[Result],Table3[Round],O$2,Table3[SI],$A39,Table3[Year],N$1)</f>
        <v>0</v>
      </c>
      <c r="P39" s="6">
        <f>SUMIFS(Table3[Result],Table3[Round],P$2,Table3[SI],$A39,Table3[Year],N$1)</f>
        <v>53</v>
      </c>
      <c r="Q39" s="6">
        <f>SUMIFS(Table3[Result],Table3[Round],Q$2,Table3[SI],$A39,Table3[Year],N$1)</f>
        <v>356</v>
      </c>
      <c r="R39" s="6">
        <f>SUMIFS(Table3[Result],Table3[Round],R$2,Table3[SI],$A39,Table3[Year],N$1)</f>
        <v>0</v>
      </c>
      <c r="S39" s="8">
        <f>SUMIFS(Table3[Result],Table3[SI],$A39,Table3[Year],N$1)</f>
        <v>409</v>
      </c>
      <c r="T39" s="7">
        <f>SUMIFS(Table3[Result],Table3[Round],T$2,Table3[SI],$A39,Table3[Year],T$1)</f>
        <v>0</v>
      </c>
      <c r="U39" s="7">
        <f>SUMIFS(Table3[Result],Table3[Round],U$2,Table3[SI],$A39,Table3[Year],T$1)</f>
        <v>0</v>
      </c>
      <c r="V39" s="7">
        <f>SUMIFS(Table3[Result],Table3[Round],V$2,Table3[SI],$A39,Table3[Year],T$1)</f>
        <v>0</v>
      </c>
      <c r="W39" s="7">
        <f>SUMIFS(Table3[Result],Table3[Round],W$2,Table3[SI],$A39,Table3[Year],T$1)</f>
        <v>56</v>
      </c>
      <c r="X39" s="7">
        <f>SUMIFS(Table3[Result],Table3[Round],X$2,Table3[SI],$A39,Table3[Year],T$1)</f>
        <v>5</v>
      </c>
      <c r="Y39" s="9">
        <f>SUMIFS(Table3[Result],Table3[SI],$A39,Table3[Year],T$1)</f>
        <v>61</v>
      </c>
    </row>
    <row r="40" spans="1:25" ht="14.25" customHeight="1" x14ac:dyDescent="0.2">
      <c r="A40" s="4" t="s">
        <v>243</v>
      </c>
      <c r="B40" s="6">
        <f>SUMIFS(Table3[Result],Table3[Round],B$2,Table3[SI],$A40,Table3[Year],B$1)</f>
        <v>0</v>
      </c>
      <c r="C40" s="6">
        <f>SUMIFS(Table3[Result],Table3[Round],C$2,Table3[SI],$A40,Table3[Year],B$1)</f>
        <v>0</v>
      </c>
      <c r="D40" s="6">
        <f>SUMIFS(Table3[Result],Table3[Round],D$2,Table3[SI],$A40,Table3[Year],B$1)</f>
        <v>0</v>
      </c>
      <c r="E40" s="6">
        <f>SUMIFS(Table3[Result],Table3[Round],E$2,Table3[SI],$A40,Table3[Year],B$1)</f>
        <v>0</v>
      </c>
      <c r="F40" s="6">
        <f>SUMIFS(Table3[Result],Table3[Round],F$2,Table3[SI],$A40,Table3[Year],B$1)</f>
        <v>0</v>
      </c>
      <c r="G40" s="8">
        <f>SUMIFS(Table3[Result],Table3[SI],$A40,Table3[Year],B$1)</f>
        <v>0</v>
      </c>
      <c r="H40" s="7">
        <f>SUMIFS(Table3[Result],Table3[Round],H$2,Table3[SI],$A40,Table3[Year],H$1)</f>
        <v>0</v>
      </c>
      <c r="I40" s="7">
        <f>SUMIFS(Table3[Result],Table3[Round],I$2,Table3[SI],$A40,Table3[Year],H$1)</f>
        <v>0</v>
      </c>
      <c r="J40" s="7">
        <f>SUMIFS(Table3[Result],Table3[Round],J$2,Table3[SI],$A40,Table3[Year],H$1)</f>
        <v>10</v>
      </c>
      <c r="K40" s="7">
        <f>SUMIFS(Table3[Result],Table3[Round],K$2,Table3[SI],$A40,Table3[Year],H$1)</f>
        <v>0</v>
      </c>
      <c r="L40" s="7">
        <f>SUMIFS(Table3[Result],Table3[Round],L$2,Table3[SI],$A40,Table3[Year],H$1)</f>
        <v>0</v>
      </c>
      <c r="M40" s="9">
        <f>SUMIFS(Table3[Result],Table3[SI],$A40,Table3[Year],H$1)</f>
        <v>10</v>
      </c>
      <c r="N40" s="6">
        <f>SUMIFS(Table3[Result],Table3[Round],N$2,Table3[SI],$A40,Table3[Year],N$1)</f>
        <v>0</v>
      </c>
      <c r="O40" s="6">
        <f>SUMIFS(Table3[Result],Table3[Round],O$2,Table3[SI],$A40,Table3[Year],N$1)</f>
        <v>0</v>
      </c>
      <c r="P40" s="6">
        <f>SUMIFS(Table3[Result],Table3[Round],P$2,Table3[SI],$A40,Table3[Year],N$1)</f>
        <v>0</v>
      </c>
      <c r="Q40" s="6">
        <f>SUMIFS(Table3[Result],Table3[Round],Q$2,Table3[SI],$A40,Table3[Year],N$1)</f>
        <v>15</v>
      </c>
      <c r="R40" s="6">
        <f>SUMIFS(Table3[Result],Table3[Round],R$2,Table3[SI],$A40,Table3[Year],N$1)</f>
        <v>0</v>
      </c>
      <c r="S40" s="8">
        <f>SUMIFS(Table3[Result],Table3[SI],$A40,Table3[Year],N$1)</f>
        <v>15</v>
      </c>
      <c r="T40" s="7">
        <f>SUMIFS(Table3[Result],Table3[Round],T$2,Table3[SI],$A40,Table3[Year],T$1)</f>
        <v>0</v>
      </c>
      <c r="U40" s="7">
        <f>SUMIFS(Table3[Result],Table3[Round],U$2,Table3[SI],$A40,Table3[Year],T$1)</f>
        <v>0</v>
      </c>
      <c r="V40" s="7">
        <f>SUMIFS(Table3[Result],Table3[Round],V$2,Table3[SI],$A40,Table3[Year],T$1)</f>
        <v>0</v>
      </c>
      <c r="W40" s="7">
        <f>SUMIFS(Table3[Result],Table3[Round],W$2,Table3[SI],$A40,Table3[Year],T$1)</f>
        <v>0</v>
      </c>
      <c r="X40" s="7">
        <f>SUMIFS(Table3[Result],Table3[Round],X$2,Table3[SI],$A40,Table3[Year],T$1)</f>
        <v>0</v>
      </c>
      <c r="Y40" s="9">
        <f>SUMIFS(Table3[Result],Table3[SI],$A40,Table3[Year],T$1)</f>
        <v>0</v>
      </c>
    </row>
    <row r="41" spans="1:25" ht="14.25" customHeight="1" x14ac:dyDescent="0.2">
      <c r="A41" s="4" t="s">
        <v>245</v>
      </c>
      <c r="B41" s="6">
        <f>SUMIFS(Table3[Result],Table3[Round],B$2,Table3[SI],$A41,Table3[Year],B$1)</f>
        <v>0</v>
      </c>
      <c r="C41" s="6">
        <f>SUMIFS(Table3[Result],Table3[Round],C$2,Table3[SI],$A41,Table3[Year],B$1)</f>
        <v>0</v>
      </c>
      <c r="D41" s="6">
        <f>SUMIFS(Table3[Result],Table3[Round],D$2,Table3[SI],$A41,Table3[Year],B$1)</f>
        <v>0</v>
      </c>
      <c r="E41" s="6">
        <f>SUMIFS(Table3[Result],Table3[Round],E$2,Table3[SI],$A41,Table3[Year],B$1)</f>
        <v>0</v>
      </c>
      <c r="F41" s="6">
        <f>SUMIFS(Table3[Result],Table3[Round],F$2,Table3[SI],$A41,Table3[Year],B$1)</f>
        <v>0</v>
      </c>
      <c r="G41" s="8">
        <f>SUMIFS(Table3[Result],Table3[SI],$A41,Table3[Year],B$1)</f>
        <v>0</v>
      </c>
      <c r="H41" s="7">
        <f>SUMIFS(Table3[Result],Table3[Round],H$2,Table3[SI],$A41,Table3[Year],H$1)</f>
        <v>0</v>
      </c>
      <c r="I41" s="7">
        <f>SUMIFS(Table3[Result],Table3[Round],I$2,Table3[SI],$A41,Table3[Year],H$1)</f>
        <v>0</v>
      </c>
      <c r="J41" s="7">
        <f>SUMIFS(Table3[Result],Table3[Round],J$2,Table3[SI],$A41,Table3[Year],H$1)</f>
        <v>8</v>
      </c>
      <c r="K41" s="7">
        <f>SUMIFS(Table3[Result],Table3[Round],K$2,Table3[SI],$A41,Table3[Year],H$1)</f>
        <v>0</v>
      </c>
      <c r="L41" s="7">
        <f>SUMIFS(Table3[Result],Table3[Round],L$2,Table3[SI],$A41,Table3[Year],H$1)</f>
        <v>0</v>
      </c>
      <c r="M41" s="9">
        <f>SUMIFS(Table3[Result],Table3[SI],$A41,Table3[Year],H$1)</f>
        <v>8</v>
      </c>
      <c r="N41" s="6">
        <f>SUMIFS(Table3[Result],Table3[Round],N$2,Table3[SI],$A41,Table3[Year],N$1)</f>
        <v>0</v>
      </c>
      <c r="O41" s="6">
        <f>SUMIFS(Table3[Result],Table3[Round],O$2,Table3[SI],$A41,Table3[Year],N$1)</f>
        <v>2</v>
      </c>
      <c r="P41" s="6">
        <f>SUMIFS(Table3[Result],Table3[Round],P$2,Table3[SI],$A41,Table3[Year],N$1)</f>
        <v>17</v>
      </c>
      <c r="Q41" s="6">
        <f>SUMIFS(Table3[Result],Table3[Round],Q$2,Table3[SI],$A41,Table3[Year],N$1)</f>
        <v>35</v>
      </c>
      <c r="R41" s="6">
        <f>SUMIFS(Table3[Result],Table3[Round],R$2,Table3[SI],$A41,Table3[Year],N$1)</f>
        <v>0</v>
      </c>
      <c r="S41" s="8">
        <f>SUMIFS(Table3[Result],Table3[SI],$A41,Table3[Year],N$1)</f>
        <v>54</v>
      </c>
      <c r="T41" s="7">
        <f>SUMIFS(Table3[Result],Table3[Round],T$2,Table3[SI],$A41,Table3[Year],T$1)</f>
        <v>0</v>
      </c>
      <c r="U41" s="7">
        <f>SUMIFS(Table3[Result],Table3[Round],U$2,Table3[SI],$A41,Table3[Year],T$1)</f>
        <v>0</v>
      </c>
      <c r="V41" s="7">
        <f>SUMIFS(Table3[Result],Table3[Round],V$2,Table3[SI],$A41,Table3[Year],T$1)</f>
        <v>6</v>
      </c>
      <c r="W41" s="7">
        <f>SUMIFS(Table3[Result],Table3[Round],W$2,Table3[SI],$A41,Table3[Year],T$1)</f>
        <v>20</v>
      </c>
      <c r="X41" s="7">
        <f>SUMIFS(Table3[Result],Table3[Round],X$2,Table3[SI],$A41,Table3[Year],T$1)</f>
        <v>7</v>
      </c>
      <c r="Y41" s="9">
        <f>SUMIFS(Table3[Result],Table3[SI],$A41,Table3[Year],T$1)</f>
        <v>33</v>
      </c>
    </row>
    <row r="42" spans="1:25" ht="14.25" customHeight="1" x14ac:dyDescent="0.2">
      <c r="A42" s="4" t="s">
        <v>247</v>
      </c>
      <c r="B42" s="6">
        <f>SUMIFS(Table3[Result],Table3[Round],B$2,Table3[SI],$A42,Table3[Year],B$1)</f>
        <v>0</v>
      </c>
      <c r="C42" s="6">
        <f>SUMIFS(Table3[Result],Table3[Round],C$2,Table3[SI],$A42,Table3[Year],B$1)</f>
        <v>0</v>
      </c>
      <c r="D42" s="6">
        <f>SUMIFS(Table3[Result],Table3[Round],D$2,Table3[SI],$A42,Table3[Year],B$1)</f>
        <v>0</v>
      </c>
      <c r="E42" s="6">
        <f>SUMIFS(Table3[Result],Table3[Round],E$2,Table3[SI],$A42,Table3[Year],B$1)</f>
        <v>0</v>
      </c>
      <c r="F42" s="6">
        <f>SUMIFS(Table3[Result],Table3[Round],F$2,Table3[SI],$A42,Table3[Year],B$1)</f>
        <v>0</v>
      </c>
      <c r="G42" s="8">
        <f>SUMIFS(Table3[Result],Table3[SI],$A42,Table3[Year],B$1)</f>
        <v>0</v>
      </c>
      <c r="H42" s="7">
        <f>SUMIFS(Table3[Result],Table3[Round],H$2,Table3[SI],$A42,Table3[Year],H$1)</f>
        <v>0</v>
      </c>
      <c r="I42" s="7">
        <f>SUMIFS(Table3[Result],Table3[Round],I$2,Table3[SI],$A42,Table3[Year],H$1)</f>
        <v>0</v>
      </c>
      <c r="J42" s="7">
        <f>SUMIFS(Table3[Result],Table3[Round],J$2,Table3[SI],$A42,Table3[Year],H$1)</f>
        <v>201</v>
      </c>
      <c r="K42" s="7">
        <f>SUMIFS(Table3[Result],Table3[Round],K$2,Table3[SI],$A42,Table3[Year],H$1)</f>
        <v>0</v>
      </c>
      <c r="L42" s="7">
        <f>SUMIFS(Table3[Result],Table3[Round],L$2,Table3[SI],$A42,Table3[Year],H$1)</f>
        <v>0</v>
      </c>
      <c r="M42" s="9">
        <f>SUMIFS(Table3[Result],Table3[SI],$A42,Table3[Year],H$1)</f>
        <v>201</v>
      </c>
      <c r="N42" s="6">
        <f>SUMIFS(Table3[Result],Table3[Round],N$2,Table3[SI],$A42,Table3[Year],N$1)</f>
        <v>0</v>
      </c>
      <c r="O42" s="6">
        <f>SUMIFS(Table3[Result],Table3[Round],O$2,Table3[SI],$A42,Table3[Year],N$1)</f>
        <v>0</v>
      </c>
      <c r="P42" s="6">
        <f>SUMIFS(Table3[Result],Table3[Round],P$2,Table3[SI],$A42,Table3[Year],N$1)</f>
        <v>3000</v>
      </c>
      <c r="Q42" s="6">
        <f>SUMIFS(Table3[Result],Table3[Round],Q$2,Table3[SI],$A42,Table3[Year],N$1)</f>
        <v>0</v>
      </c>
      <c r="R42" s="6">
        <f>SUMIFS(Table3[Result],Table3[Round],R$2,Table3[SI],$A42,Table3[Year],N$1)</f>
        <v>0</v>
      </c>
      <c r="S42" s="8">
        <f>SUMIFS(Table3[Result],Table3[SI],$A42,Table3[Year],N$1)</f>
        <v>3000</v>
      </c>
      <c r="T42" s="7">
        <f>SUMIFS(Table3[Result],Table3[Round],T$2,Table3[SI],$A42,Table3[Year],T$1)</f>
        <v>0</v>
      </c>
      <c r="U42" s="7">
        <f>SUMIFS(Table3[Result],Table3[Round],U$2,Table3[SI],$A42,Table3[Year],T$1)</f>
        <v>0</v>
      </c>
      <c r="V42" s="7">
        <f>SUMIFS(Table3[Result],Table3[Round],V$2,Table3[SI],$A42,Table3[Year],T$1)</f>
        <v>0</v>
      </c>
      <c r="W42" s="7">
        <f>SUMIFS(Table3[Result],Table3[Round],W$2,Table3[SI],$A42,Table3[Year],T$1)</f>
        <v>0</v>
      </c>
      <c r="X42" s="7">
        <f>SUMIFS(Table3[Result],Table3[Round],X$2,Table3[SI],$A42,Table3[Year],T$1)</f>
        <v>0</v>
      </c>
      <c r="Y42" s="9">
        <f>SUMIFS(Table3[Result],Table3[SI],$A42,Table3[Year],T$1)</f>
        <v>0</v>
      </c>
    </row>
    <row r="43" spans="1:25" ht="14.25" customHeight="1" x14ac:dyDescent="0.2">
      <c r="A43" s="4" t="s">
        <v>250</v>
      </c>
      <c r="B43" s="6">
        <f>SUMIFS(Table3[Result],Table3[Round],B$2,Table3[SI],$A43,Table3[Year],B$1)</f>
        <v>0</v>
      </c>
      <c r="C43" s="6">
        <f>SUMIFS(Table3[Result],Table3[Round],C$2,Table3[SI],$A43,Table3[Year],B$1)</f>
        <v>3</v>
      </c>
      <c r="D43" s="6">
        <f>SUMIFS(Table3[Result],Table3[Round],D$2,Table3[SI],$A43,Table3[Year],B$1)</f>
        <v>0</v>
      </c>
      <c r="E43" s="6">
        <f>SUMIFS(Table3[Result],Table3[Round],E$2,Table3[SI],$A43,Table3[Year],B$1)</f>
        <v>0</v>
      </c>
      <c r="F43" s="6">
        <f>SUMIFS(Table3[Result],Table3[Round],F$2,Table3[SI],$A43,Table3[Year],B$1)</f>
        <v>0</v>
      </c>
      <c r="G43" s="8">
        <f>SUMIFS(Table3[Result],Table3[SI],$A43,Table3[Year],B$1)</f>
        <v>3</v>
      </c>
      <c r="H43" s="7">
        <f>SUMIFS(Table3[Result],Table3[Round],H$2,Table3[SI],$A43,Table3[Year],H$1)</f>
        <v>0</v>
      </c>
      <c r="I43" s="7">
        <f>SUMIFS(Table3[Result],Table3[Round],I$2,Table3[SI],$A43,Table3[Year],H$1)</f>
        <v>0</v>
      </c>
      <c r="J43" s="7">
        <f>SUMIFS(Table3[Result],Table3[Round],J$2,Table3[SI],$A43,Table3[Year],H$1)</f>
        <v>2</v>
      </c>
      <c r="K43" s="7">
        <f>SUMIFS(Table3[Result],Table3[Round],K$2,Table3[SI],$A43,Table3[Year],H$1)</f>
        <v>0</v>
      </c>
      <c r="L43" s="7">
        <f>SUMIFS(Table3[Result],Table3[Round],L$2,Table3[SI],$A43,Table3[Year],H$1)</f>
        <v>0</v>
      </c>
      <c r="M43" s="9">
        <f>SUMIFS(Table3[Result],Table3[SI],$A43,Table3[Year],H$1)</f>
        <v>2</v>
      </c>
      <c r="N43" s="6">
        <f>SUMIFS(Table3[Result],Table3[Round],N$2,Table3[SI],$A43,Table3[Year],N$1)</f>
        <v>0</v>
      </c>
      <c r="O43" s="6">
        <f>SUMIFS(Table3[Result],Table3[Round],O$2,Table3[SI],$A43,Table3[Year],N$1)</f>
        <v>5</v>
      </c>
      <c r="P43" s="6">
        <f>SUMIFS(Table3[Result],Table3[Round],P$2,Table3[SI],$A43,Table3[Year],N$1)</f>
        <v>3</v>
      </c>
      <c r="Q43" s="6">
        <f>SUMIFS(Table3[Result],Table3[Round],Q$2,Table3[SI],$A43,Table3[Year],N$1)</f>
        <v>3</v>
      </c>
      <c r="R43" s="6">
        <f>SUMIFS(Table3[Result],Table3[Round],R$2,Table3[SI],$A43,Table3[Year],N$1)</f>
        <v>0</v>
      </c>
      <c r="S43" s="8">
        <f>SUMIFS(Table3[Result],Table3[SI],$A43,Table3[Year],N$1)</f>
        <v>11</v>
      </c>
      <c r="T43" s="7">
        <f>SUMIFS(Table3[Result],Table3[Round],T$2,Table3[SI],$A43,Table3[Year],T$1)</f>
        <v>0</v>
      </c>
      <c r="U43" s="7">
        <f>SUMIFS(Table3[Result],Table3[Round],U$2,Table3[SI],$A43,Table3[Year],T$1)</f>
        <v>0</v>
      </c>
      <c r="V43" s="7">
        <f>SUMIFS(Table3[Result],Table3[Round],V$2,Table3[SI],$A43,Table3[Year],T$1)</f>
        <v>0</v>
      </c>
      <c r="W43" s="7">
        <f>SUMIFS(Table3[Result],Table3[Round],W$2,Table3[SI],$A43,Table3[Year],T$1)</f>
        <v>0</v>
      </c>
      <c r="X43" s="7">
        <f>SUMIFS(Table3[Result],Table3[Round],X$2,Table3[SI],$A43,Table3[Year],T$1)</f>
        <v>0</v>
      </c>
      <c r="Y43" s="9">
        <f>SUMIFS(Table3[Result],Table3[SI],$A43,Table3[Year],T$1)</f>
        <v>0</v>
      </c>
    </row>
    <row r="44" spans="1:25" ht="14.25" customHeight="1" x14ac:dyDescent="0.2">
      <c r="A44" s="4" t="s">
        <v>252</v>
      </c>
      <c r="B44" s="6">
        <f>SUMIFS(Table3[Result],Table3[Round],B$2,Table3[SI],$A44,Table3[Year],B$1)</f>
        <v>0</v>
      </c>
      <c r="C44" s="6">
        <f>SUMIFS(Table3[Result],Table3[Round],C$2,Table3[SI],$A44,Table3[Year],B$1)</f>
        <v>0</v>
      </c>
      <c r="D44" s="6">
        <f>SUMIFS(Table3[Result],Table3[Round],D$2,Table3[SI],$A44,Table3[Year],B$1)</f>
        <v>0</v>
      </c>
      <c r="E44" s="6">
        <f>SUMIFS(Table3[Result],Table3[Round],E$2,Table3[SI],$A44,Table3[Year],B$1)</f>
        <v>0</v>
      </c>
      <c r="F44" s="6">
        <f>SUMIFS(Table3[Result],Table3[Round],F$2,Table3[SI],$A44,Table3[Year],B$1)</f>
        <v>0</v>
      </c>
      <c r="G44" s="8">
        <f>SUMIFS(Table3[Result],Table3[SI],$A44,Table3[Year],B$1)</f>
        <v>0</v>
      </c>
      <c r="H44" s="7">
        <f>SUMIFS(Table3[Result],Table3[Round],H$2,Table3[SI],$A44,Table3[Year],H$1)</f>
        <v>0</v>
      </c>
      <c r="I44" s="7">
        <f>SUMIFS(Table3[Result],Table3[Round],I$2,Table3[SI],$A44,Table3[Year],H$1)</f>
        <v>1</v>
      </c>
      <c r="J44" s="7">
        <f>SUMIFS(Table3[Result],Table3[Round],J$2,Table3[SI],$A44,Table3[Year],H$1)</f>
        <v>0</v>
      </c>
      <c r="K44" s="7">
        <f>SUMIFS(Table3[Result],Table3[Round],K$2,Table3[SI],$A44,Table3[Year],H$1)</f>
        <v>0</v>
      </c>
      <c r="L44" s="7">
        <f>SUMIFS(Table3[Result],Table3[Round],L$2,Table3[SI],$A44,Table3[Year],H$1)</f>
        <v>0</v>
      </c>
      <c r="M44" s="9">
        <f>SUMIFS(Table3[Result],Table3[SI],$A44,Table3[Year],H$1)</f>
        <v>1</v>
      </c>
      <c r="N44" s="6">
        <f>SUMIFS(Table3[Result],Table3[Round],N$2,Table3[SI],$A44,Table3[Year],N$1)</f>
        <v>0</v>
      </c>
      <c r="O44" s="6">
        <f>SUMIFS(Table3[Result],Table3[Round],O$2,Table3[SI],$A44,Table3[Year],N$1)</f>
        <v>0</v>
      </c>
      <c r="P44" s="6">
        <f>SUMIFS(Table3[Result],Table3[Round],P$2,Table3[SI],$A44,Table3[Year],N$1)</f>
        <v>0</v>
      </c>
      <c r="Q44" s="6">
        <f>SUMIFS(Table3[Result],Table3[Round],Q$2,Table3[SI],$A44,Table3[Year],N$1)</f>
        <v>0</v>
      </c>
      <c r="R44" s="6">
        <f>SUMIFS(Table3[Result],Table3[Round],R$2,Table3[SI],$A44,Table3[Year],N$1)</f>
        <v>0</v>
      </c>
      <c r="S44" s="8">
        <f>SUMIFS(Table3[Result],Table3[SI],$A44,Table3[Year],N$1)</f>
        <v>0</v>
      </c>
      <c r="T44" s="7">
        <f>SUMIFS(Table3[Result],Table3[Round],T$2,Table3[SI],$A44,Table3[Year],T$1)</f>
        <v>0</v>
      </c>
      <c r="U44" s="7">
        <f>SUMIFS(Table3[Result],Table3[Round],U$2,Table3[SI],$A44,Table3[Year],T$1)</f>
        <v>0</v>
      </c>
      <c r="V44" s="7">
        <f>SUMIFS(Table3[Result],Table3[Round],V$2,Table3[SI],$A44,Table3[Year],T$1)</f>
        <v>3</v>
      </c>
      <c r="W44" s="7">
        <f>SUMIFS(Table3[Result],Table3[Round],W$2,Table3[SI],$A44,Table3[Year],T$1)</f>
        <v>0</v>
      </c>
      <c r="X44" s="7">
        <f>SUMIFS(Table3[Result],Table3[Round],X$2,Table3[SI],$A44,Table3[Year],T$1)</f>
        <v>0</v>
      </c>
      <c r="Y44" s="9">
        <f>SUMIFS(Table3[Result],Table3[SI],$A44,Table3[Year],T$1)</f>
        <v>3</v>
      </c>
    </row>
    <row r="45" spans="1:25" ht="14.25" customHeight="1" x14ac:dyDescent="0.2">
      <c r="A45" s="4" t="s">
        <v>254</v>
      </c>
      <c r="B45" s="6">
        <f>SUMIFS(Table3[Result],Table3[Round],B$2,Table3[SI],$A45,Table3[Year],B$1)</f>
        <v>0</v>
      </c>
      <c r="C45" s="6">
        <f>SUMIFS(Table3[Result],Table3[Round],C$2,Table3[SI],$A45,Table3[Year],B$1)</f>
        <v>0</v>
      </c>
      <c r="D45" s="6">
        <f>SUMIFS(Table3[Result],Table3[Round],D$2,Table3[SI],$A45,Table3[Year],B$1)</f>
        <v>0</v>
      </c>
      <c r="E45" s="6">
        <f>SUMIFS(Table3[Result],Table3[Round],E$2,Table3[SI],$A45,Table3[Year],B$1)</f>
        <v>0</v>
      </c>
      <c r="F45" s="6">
        <f>SUMIFS(Table3[Result],Table3[Round],F$2,Table3[SI],$A45,Table3[Year],B$1)</f>
        <v>0</v>
      </c>
      <c r="G45" s="8">
        <f>SUMIFS(Table3[Result],Table3[SI],$A45,Table3[Year],B$1)</f>
        <v>0</v>
      </c>
      <c r="H45" s="7">
        <f>SUMIFS(Table3[Result],Table3[Round],H$2,Table3[SI],$A45,Table3[Year],H$1)</f>
        <v>0</v>
      </c>
      <c r="I45" s="7">
        <f>SUMIFS(Table3[Result],Table3[Round],I$2,Table3[SI],$A45,Table3[Year],H$1)</f>
        <v>0</v>
      </c>
      <c r="J45" s="7">
        <f>SUMIFS(Table3[Result],Table3[Round],J$2,Table3[SI],$A45,Table3[Year],H$1)</f>
        <v>0</v>
      </c>
      <c r="K45" s="7">
        <f>SUMIFS(Table3[Result],Table3[Round],K$2,Table3[SI],$A45,Table3[Year],H$1)</f>
        <v>0</v>
      </c>
      <c r="L45" s="7">
        <f>SUMIFS(Table3[Result],Table3[Round],L$2,Table3[SI],$A45,Table3[Year],H$1)</f>
        <v>0</v>
      </c>
      <c r="M45" s="9">
        <f>SUMIFS(Table3[Result],Table3[SI],$A45,Table3[Year],H$1)</f>
        <v>0</v>
      </c>
      <c r="N45" s="6">
        <f>SUMIFS(Table3[Result],Table3[Round],N$2,Table3[SI],$A45,Table3[Year],N$1)</f>
        <v>0</v>
      </c>
      <c r="O45" s="6">
        <f>SUMIFS(Table3[Result],Table3[Round],O$2,Table3[SI],$A45,Table3[Year],N$1)</f>
        <v>2</v>
      </c>
      <c r="P45" s="6">
        <f>SUMIFS(Table3[Result],Table3[Round],P$2,Table3[SI],$A45,Table3[Year],N$1)</f>
        <v>0</v>
      </c>
      <c r="Q45" s="6">
        <f>SUMIFS(Table3[Result],Table3[Round],Q$2,Table3[SI],$A45,Table3[Year],N$1)</f>
        <v>4</v>
      </c>
      <c r="R45" s="6">
        <f>SUMIFS(Table3[Result],Table3[Round],R$2,Table3[SI],$A45,Table3[Year],N$1)</f>
        <v>0</v>
      </c>
      <c r="S45" s="8">
        <f>SUMIFS(Table3[Result],Table3[SI],$A45,Table3[Year],N$1)</f>
        <v>6</v>
      </c>
      <c r="T45" s="7">
        <f>SUMIFS(Table3[Result],Table3[Round],T$2,Table3[SI],$A45,Table3[Year],T$1)</f>
        <v>0</v>
      </c>
      <c r="U45" s="7">
        <f>SUMIFS(Table3[Result],Table3[Round],U$2,Table3[SI],$A45,Table3[Year],T$1)</f>
        <v>0</v>
      </c>
      <c r="V45" s="7">
        <f>SUMIFS(Table3[Result],Table3[Round],V$2,Table3[SI],$A45,Table3[Year],T$1)</f>
        <v>1</v>
      </c>
      <c r="W45" s="7">
        <f>SUMIFS(Table3[Result],Table3[Round],W$2,Table3[SI],$A45,Table3[Year],T$1)</f>
        <v>0</v>
      </c>
      <c r="X45" s="7">
        <f>SUMIFS(Table3[Result],Table3[Round],X$2,Table3[SI],$A45,Table3[Year],T$1)</f>
        <v>2</v>
      </c>
      <c r="Y45" s="9">
        <f>SUMIFS(Table3[Result],Table3[SI],$A45,Table3[Year],T$1)</f>
        <v>3</v>
      </c>
    </row>
    <row r="46" spans="1:25" ht="14.25" customHeight="1" x14ac:dyDescent="0.2">
      <c r="A46" s="4"/>
      <c r="B46" s="6"/>
      <c r="C46" s="6"/>
      <c r="D46" s="6"/>
      <c r="E46" s="6"/>
      <c r="F46" s="6"/>
      <c r="G46" s="8"/>
      <c r="H46" s="7"/>
      <c r="I46" s="7"/>
      <c r="J46" s="7"/>
      <c r="K46" s="7"/>
      <c r="L46" s="7"/>
      <c r="M46" s="9"/>
      <c r="N46" s="6"/>
      <c r="O46" s="6"/>
      <c r="P46" s="6"/>
      <c r="Q46" s="6"/>
      <c r="R46" s="6"/>
      <c r="S46" s="8"/>
      <c r="T46" s="7"/>
      <c r="U46" s="7"/>
      <c r="V46" s="7"/>
      <c r="W46" s="7"/>
      <c r="X46" s="7"/>
      <c r="Y46" s="9"/>
    </row>
    <row r="47" spans="1:25" ht="14.25" customHeight="1" x14ac:dyDescent="0.2">
      <c r="A47" s="4" t="s">
        <v>257</v>
      </c>
      <c r="B47" s="6">
        <f>SUMIFS(Table3[Result],Table3[Round],B$2,Table3[SI],$A47,Table3[Year],B$1)</f>
        <v>0</v>
      </c>
      <c r="C47" s="6">
        <f>SUMIFS(Table3[Result],Table3[Round],C$2,Table3[SI],$A47,Table3[Year],B$1)</f>
        <v>0</v>
      </c>
      <c r="D47" s="6">
        <f>SUMIFS(Table3[Result],Table3[Round],D$2,Table3[SI],$A47,Table3[Year],B$1)</f>
        <v>0</v>
      </c>
      <c r="E47" s="6">
        <f>SUMIFS(Table3[Result],Table3[Round],E$2,Table3[SI],$A47,Table3[Year],B$1)</f>
        <v>0</v>
      </c>
      <c r="F47" s="6">
        <f>SUMIFS(Table3[Result],Table3[Round],F$2,Table3[SI],$A47,Table3[Year],B$1)</f>
        <v>0</v>
      </c>
      <c r="G47" s="8">
        <f>SUMIFS(Table3[Result],Table3[SI],$A47,Table3[Year],B$1)</f>
        <v>0</v>
      </c>
      <c r="H47" s="7">
        <f>SUMIFS(Table3[Result],Table3[Round],H$2,Table3[SI],$A47,Table3[Year],H$1)</f>
        <v>0</v>
      </c>
      <c r="I47" s="7">
        <f>SUMIFS(Table3[Result],Table3[Round],I$2,Table3[SI],$A47,Table3[Year],H$1)</f>
        <v>0</v>
      </c>
      <c r="J47" s="7">
        <f>SUMIFS(Table3[Result],Table3[Round],J$2,Table3[SI],$A47,Table3[Year],H$1)</f>
        <v>10</v>
      </c>
      <c r="K47" s="7">
        <f>SUMIFS(Table3[Result],Table3[Round],K$2,Table3[SI],$A47,Table3[Year],H$1)</f>
        <v>0</v>
      </c>
      <c r="L47" s="7">
        <f>SUMIFS(Table3[Result],Table3[Round],L$2,Table3[SI],$A47,Table3[Year],H$1)</f>
        <v>0</v>
      </c>
      <c r="M47" s="9">
        <f>SUMIFS(Table3[Result],Table3[SI],$A47,Table3[Year],H$1)</f>
        <v>10</v>
      </c>
      <c r="N47" s="6">
        <f>SUMIFS(Table3[Result],Table3[Round],N$2,Table3[SI],$A47,Table3[Year],N$1)</f>
        <v>0</v>
      </c>
      <c r="O47" s="6">
        <f>SUMIFS(Table3[Result],Table3[Round],O$2,Table3[SI],$A47,Table3[Year],N$1)</f>
        <v>20.56</v>
      </c>
      <c r="P47" s="6">
        <f>SUMIFS(Table3[Result],Table3[Round],P$2,Table3[SI],$A47,Table3[Year],N$1)</f>
        <v>5</v>
      </c>
      <c r="Q47" s="6">
        <f>SUMIFS(Table3[Result],Table3[Round],Q$2,Table3[SI],$A47,Table3[Year],N$1)</f>
        <v>0</v>
      </c>
      <c r="R47" s="6">
        <f>SUMIFS(Table3[Result],Table3[Round],R$2,Table3[SI],$A47,Table3[Year],N$1)</f>
        <v>0</v>
      </c>
      <c r="S47" s="8">
        <f>SUMIFS(Table3[Result],Table3[SI],$A47,Table3[Year],N$1)</f>
        <v>25.56</v>
      </c>
      <c r="T47" s="7">
        <f>SUMIFS(Table3[Result],Table3[Round],T$2,Table3[SI],$A47,Table3[Year],T$1)</f>
        <v>0</v>
      </c>
      <c r="U47" s="7">
        <f>SUMIFS(Table3[Result],Table3[Round],U$2,Table3[SI],$A47,Table3[Year],T$1)</f>
        <v>0</v>
      </c>
      <c r="V47" s="7">
        <f>SUMIFS(Table3[Result],Table3[Round],V$2,Table3[SI],$A47,Table3[Year],T$1)</f>
        <v>5</v>
      </c>
      <c r="W47" s="7">
        <f>SUMIFS(Table3[Result],Table3[Round],W$2,Table3[SI],$A47,Table3[Year],T$1)</f>
        <v>0</v>
      </c>
      <c r="X47" s="7">
        <f>SUMIFS(Table3[Result],Table3[Round],X$2,Table3[SI],$A47,Table3[Year],T$1)</f>
        <v>0</v>
      </c>
      <c r="Y47" s="9">
        <f>SUMIFS(Table3[Result],Table3[SI],$A47,Table3[Year],T$1)</f>
        <v>5</v>
      </c>
    </row>
    <row r="48" spans="1:25" ht="14.25" customHeight="1" x14ac:dyDescent="0.2">
      <c r="A48" s="4" t="s">
        <v>259</v>
      </c>
      <c r="B48" s="6">
        <f>SUMIFS(Table3[Result],Table3[Round],B$2,Table3[SI],$A48,Table3[Year],B$1)</f>
        <v>0</v>
      </c>
      <c r="C48" s="6">
        <f>SUMIFS(Table3[Result],Table3[Round],C$2,Table3[SI],$A48,Table3[Year],B$1)</f>
        <v>0</v>
      </c>
      <c r="D48" s="6">
        <f>SUMIFS(Table3[Result],Table3[Round],D$2,Table3[SI],$A48,Table3[Year],B$1)</f>
        <v>0</v>
      </c>
      <c r="E48" s="6">
        <f>SUMIFS(Table3[Result],Table3[Round],E$2,Table3[SI],$A48,Table3[Year],B$1)</f>
        <v>0</v>
      </c>
      <c r="F48" s="6">
        <f>SUMIFS(Table3[Result],Table3[Round],F$2,Table3[SI],$A48,Table3[Year],B$1)</f>
        <v>0</v>
      </c>
      <c r="G48" s="8">
        <f>SUMIFS(Table3[Result],Table3[SI],$A48,Table3[Year],B$1)</f>
        <v>0</v>
      </c>
      <c r="H48" s="7">
        <f>SUMIFS(Table3[Result],Table3[Round],H$2,Table3[SI],$A48,Table3[Year],H$1)</f>
        <v>0</v>
      </c>
      <c r="I48" s="7">
        <f>SUMIFS(Table3[Result],Table3[Round],I$2,Table3[SI],$A48,Table3[Year],H$1)</f>
        <v>0</v>
      </c>
      <c r="J48" s="7">
        <f>SUMIFS(Table3[Result],Table3[Round],J$2,Table3[SI],$A48,Table3[Year],H$1)</f>
        <v>0</v>
      </c>
      <c r="K48" s="7">
        <f>SUMIFS(Table3[Result],Table3[Round],K$2,Table3[SI],$A48,Table3[Year],H$1)</f>
        <v>0</v>
      </c>
      <c r="L48" s="7">
        <f>SUMIFS(Table3[Result],Table3[Round],L$2,Table3[SI],$A48,Table3[Year],H$1)</f>
        <v>0</v>
      </c>
      <c r="M48" s="9">
        <f>SUMIFS(Table3[Result],Table3[SI],$A48,Table3[Year],H$1)</f>
        <v>0</v>
      </c>
      <c r="N48" s="6">
        <f>SUMIFS(Table3[Result],Table3[Round],N$2,Table3[SI],$A48,Table3[Year],N$1)</f>
        <v>0</v>
      </c>
      <c r="O48" s="6">
        <f>SUMIFS(Table3[Result],Table3[Round],O$2,Table3[SI],$A48,Table3[Year],N$1)</f>
        <v>0</v>
      </c>
      <c r="P48" s="6">
        <f>SUMIFS(Table3[Result],Table3[Round],P$2,Table3[SI],$A48,Table3[Year],N$1)</f>
        <v>0</v>
      </c>
      <c r="Q48" s="6">
        <f>SUMIFS(Table3[Result],Table3[Round],Q$2,Table3[SI],$A48,Table3[Year],N$1)</f>
        <v>0</v>
      </c>
      <c r="R48" s="6">
        <f>SUMIFS(Table3[Result],Table3[Round],R$2,Table3[SI],$A48,Table3[Year],N$1)</f>
        <v>0</v>
      </c>
      <c r="S48" s="8">
        <f>SUMIFS(Table3[Result],Table3[SI],$A48,Table3[Year],N$1)</f>
        <v>0</v>
      </c>
      <c r="T48" s="7">
        <f>SUMIFS(Table3[Result],Table3[Round],T$2,Table3[SI],$A48,Table3[Year],T$1)</f>
        <v>0</v>
      </c>
      <c r="U48" s="7">
        <f>SUMIFS(Table3[Result],Table3[Round],U$2,Table3[SI],$A48,Table3[Year],T$1)</f>
        <v>0</v>
      </c>
      <c r="V48" s="7">
        <f>SUMIFS(Table3[Result],Table3[Round],V$2,Table3[SI],$A48,Table3[Year],T$1)</f>
        <v>0</v>
      </c>
      <c r="W48" s="7">
        <f>SUMIFS(Table3[Result],Table3[Round],W$2,Table3[SI],$A48,Table3[Year],T$1)</f>
        <v>0</v>
      </c>
      <c r="X48" s="7">
        <f>SUMIFS(Table3[Result],Table3[Round],X$2,Table3[SI],$A48,Table3[Year],T$1)</f>
        <v>0</v>
      </c>
      <c r="Y48" s="9">
        <f>SUMIFS(Table3[Result],Table3[SI],$A48,Table3[Year],T$1)</f>
        <v>0</v>
      </c>
    </row>
    <row r="49" spans="1:25" ht="14.25" customHeight="1" x14ac:dyDescent="0.2">
      <c r="A49" s="4" t="s">
        <v>261</v>
      </c>
      <c r="B49" s="6">
        <f>SUMIFS(Table3[Result],Table3[Round],B$2,Table3[SI],$A49,Table3[Year],B$1)</f>
        <v>0</v>
      </c>
      <c r="C49" s="6">
        <f>SUMIFS(Table3[Result],Table3[Round],C$2,Table3[SI],$A49,Table3[Year],B$1)</f>
        <v>0</v>
      </c>
      <c r="D49" s="6">
        <f>SUMIFS(Table3[Result],Table3[Round],D$2,Table3[SI],$A49,Table3[Year],B$1)</f>
        <v>0</v>
      </c>
      <c r="E49" s="6">
        <f>SUMIFS(Table3[Result],Table3[Round],E$2,Table3[SI],$A49,Table3[Year],B$1)</f>
        <v>0</v>
      </c>
      <c r="F49" s="6">
        <f>SUMIFS(Table3[Result],Table3[Round],F$2,Table3[SI],$A49,Table3[Year],B$1)</f>
        <v>0</v>
      </c>
      <c r="G49" s="8">
        <f>SUMIFS(Table3[Result],Table3[SI],$A49,Table3[Year],B$1)</f>
        <v>0</v>
      </c>
      <c r="H49" s="7">
        <f>SUMIFS(Table3[Result],Table3[Round],H$2,Table3[SI],$A49,Table3[Year],H$1)</f>
        <v>0</v>
      </c>
      <c r="I49" s="7">
        <f>SUMIFS(Table3[Result],Table3[Round],I$2,Table3[SI],$A49,Table3[Year],H$1)</f>
        <v>0</v>
      </c>
      <c r="J49" s="7">
        <f>SUMIFS(Table3[Result],Table3[Round],J$2,Table3[SI],$A49,Table3[Year],H$1)</f>
        <v>0</v>
      </c>
      <c r="K49" s="7">
        <f>SUMIFS(Table3[Result],Table3[Round],K$2,Table3[SI],$A49,Table3[Year],H$1)</f>
        <v>0</v>
      </c>
      <c r="L49" s="7">
        <f>SUMIFS(Table3[Result],Table3[Round],L$2,Table3[SI],$A49,Table3[Year],H$1)</f>
        <v>0</v>
      </c>
      <c r="M49" s="9">
        <f>SUMIFS(Table3[Result],Table3[SI],$A49,Table3[Year],H$1)</f>
        <v>0</v>
      </c>
      <c r="N49" s="6">
        <f>SUMIFS(Table3[Result],Table3[Round],N$2,Table3[SI],$A49,Table3[Year],N$1)</f>
        <v>0</v>
      </c>
      <c r="O49" s="6">
        <f>SUMIFS(Table3[Result],Table3[Round],O$2,Table3[SI],$A49,Table3[Year],N$1)</f>
        <v>0</v>
      </c>
      <c r="P49" s="6">
        <f>SUMIFS(Table3[Result],Table3[Round],P$2,Table3[SI],$A49,Table3[Year],N$1)</f>
        <v>0</v>
      </c>
      <c r="Q49" s="6">
        <f>SUMIFS(Table3[Result],Table3[Round],Q$2,Table3[SI],$A49,Table3[Year],N$1)</f>
        <v>0</v>
      </c>
      <c r="R49" s="6">
        <f>SUMIFS(Table3[Result],Table3[Round],R$2,Table3[SI],$A49,Table3[Year],N$1)</f>
        <v>0</v>
      </c>
      <c r="S49" s="8">
        <f>SUMIFS(Table3[Result],Table3[SI],$A49,Table3[Year],N$1)</f>
        <v>0</v>
      </c>
      <c r="T49" s="7">
        <f>SUMIFS(Table3[Result],Table3[Round],T$2,Table3[SI],$A49,Table3[Year],T$1)</f>
        <v>0</v>
      </c>
      <c r="U49" s="7">
        <f>SUMIFS(Table3[Result],Table3[Round],U$2,Table3[SI],$A49,Table3[Year],T$1)</f>
        <v>0</v>
      </c>
      <c r="V49" s="7">
        <f>SUMIFS(Table3[Result],Table3[Round],V$2,Table3[SI],$A49,Table3[Year],T$1)</f>
        <v>0</v>
      </c>
      <c r="W49" s="7">
        <f>SUMIFS(Table3[Result],Table3[Round],W$2,Table3[SI],$A49,Table3[Year],T$1)</f>
        <v>1</v>
      </c>
      <c r="X49" s="7">
        <f>SUMIFS(Table3[Result],Table3[Round],X$2,Table3[SI],$A49,Table3[Year],T$1)</f>
        <v>0</v>
      </c>
      <c r="Y49" s="9">
        <f>SUMIFS(Table3[Result],Table3[SI],$A49,Table3[Year],T$1)</f>
        <v>1</v>
      </c>
    </row>
    <row r="50" spans="1:25" ht="14.25" customHeight="1" x14ac:dyDescent="0.2">
      <c r="A50" s="4" t="s">
        <v>263</v>
      </c>
      <c r="B50" s="6">
        <f>SUMIFS(Table3[Result],Table3[Round],B$2,Table3[SI],$A50,Table3[Year],B$1)</f>
        <v>0</v>
      </c>
      <c r="C50" s="6">
        <f>SUMIFS(Table3[Result],Table3[Round],C$2,Table3[SI],$A50,Table3[Year],B$1)</f>
        <v>0</v>
      </c>
      <c r="D50" s="6">
        <f>SUMIFS(Table3[Result],Table3[Round],D$2,Table3[SI],$A50,Table3[Year],B$1)</f>
        <v>0</v>
      </c>
      <c r="E50" s="6">
        <f>SUMIFS(Table3[Result],Table3[Round],E$2,Table3[SI],$A50,Table3[Year],B$1)</f>
        <v>0</v>
      </c>
      <c r="F50" s="6">
        <f>SUMIFS(Table3[Result],Table3[Round],F$2,Table3[SI],$A50,Table3[Year],B$1)</f>
        <v>0</v>
      </c>
      <c r="G50" s="8">
        <f>SUMIFS(Table3[Result],Table3[SI],$A50,Table3[Year],B$1)</f>
        <v>0</v>
      </c>
      <c r="H50" s="7">
        <f>SUMIFS(Table3[Result],Table3[Round],H$2,Table3[SI],$A50,Table3[Year],H$1)</f>
        <v>0</v>
      </c>
      <c r="I50" s="7">
        <f>SUMIFS(Table3[Result],Table3[Round],I$2,Table3[SI],$A50,Table3[Year],H$1)</f>
        <v>0</v>
      </c>
      <c r="J50" s="7">
        <f>SUMIFS(Table3[Result],Table3[Round],J$2,Table3[SI],$A50,Table3[Year],H$1)</f>
        <v>0</v>
      </c>
      <c r="K50" s="7">
        <f>SUMIFS(Table3[Result],Table3[Round],K$2,Table3[SI],$A50,Table3[Year],H$1)</f>
        <v>0</v>
      </c>
      <c r="L50" s="7">
        <f>SUMIFS(Table3[Result],Table3[Round],L$2,Table3[SI],$A50,Table3[Year],H$1)</f>
        <v>0</v>
      </c>
      <c r="M50" s="9">
        <f>SUMIFS(Table3[Result],Table3[SI],$A50,Table3[Year],H$1)</f>
        <v>0</v>
      </c>
      <c r="N50" s="6">
        <f>SUMIFS(Table3[Result],Table3[Round],N$2,Table3[SI],$A50,Table3[Year],N$1)</f>
        <v>0</v>
      </c>
      <c r="O50" s="6">
        <f>SUMIFS(Table3[Result],Table3[Round],O$2,Table3[SI],$A50,Table3[Year],N$1)</f>
        <v>0</v>
      </c>
      <c r="P50" s="6">
        <f>SUMIFS(Table3[Result],Table3[Round],P$2,Table3[SI],$A50,Table3[Year],N$1)</f>
        <v>0</v>
      </c>
      <c r="Q50" s="6">
        <f>SUMIFS(Table3[Result],Table3[Round],Q$2,Table3[SI],$A50,Table3[Year],N$1)</f>
        <v>0</v>
      </c>
      <c r="R50" s="6">
        <f>SUMIFS(Table3[Result],Table3[Round],R$2,Table3[SI],$A50,Table3[Year],N$1)</f>
        <v>0</v>
      </c>
      <c r="S50" s="8">
        <f>SUMIFS(Table3[Result],Table3[SI],$A50,Table3[Year],N$1)</f>
        <v>0</v>
      </c>
      <c r="T50" s="7">
        <f>SUMIFS(Table3[Result],Table3[Round],T$2,Table3[SI],$A50,Table3[Year],T$1)</f>
        <v>0</v>
      </c>
      <c r="U50" s="7">
        <f>SUMIFS(Table3[Result],Table3[Round],U$2,Table3[SI],$A50,Table3[Year],T$1)</f>
        <v>0</v>
      </c>
      <c r="V50" s="7">
        <f>SUMIFS(Table3[Result],Table3[Round],V$2,Table3[SI],$A50,Table3[Year],T$1)</f>
        <v>0</v>
      </c>
      <c r="W50" s="7">
        <f>SUMIFS(Table3[Result],Table3[Round],W$2,Table3[SI],$A50,Table3[Year],T$1)</f>
        <v>0</v>
      </c>
      <c r="X50" s="7">
        <f>SUMIFS(Table3[Result],Table3[Round],X$2,Table3[SI],$A50,Table3[Year],T$1)</f>
        <v>0</v>
      </c>
      <c r="Y50" s="9">
        <f>SUMIFS(Table3[Result],Table3[SI],$A50,Table3[Year],T$1)</f>
        <v>0</v>
      </c>
    </row>
    <row r="51" spans="1:25" ht="14.25" customHeight="1" x14ac:dyDescent="0.2">
      <c r="A51" s="4" t="s">
        <v>265</v>
      </c>
      <c r="B51" s="6">
        <f>SUMIFS(Table3[Result],Table3[Round],B$2,Table3[SI],$A51,Table3[Year],B$1)</f>
        <v>0</v>
      </c>
      <c r="C51" s="6">
        <f>SUMIFS(Table3[Result],Table3[Round],C$2,Table3[SI],$A51,Table3[Year],B$1)</f>
        <v>0</v>
      </c>
      <c r="D51" s="6">
        <f>SUMIFS(Table3[Result],Table3[Round],D$2,Table3[SI],$A51,Table3[Year],B$1)</f>
        <v>0</v>
      </c>
      <c r="E51" s="6">
        <f>SUMIFS(Table3[Result],Table3[Round],E$2,Table3[SI],$A51,Table3[Year],B$1)</f>
        <v>0</v>
      </c>
      <c r="F51" s="6">
        <f>SUMIFS(Table3[Result],Table3[Round],F$2,Table3[SI],$A51,Table3[Year],B$1)</f>
        <v>0</v>
      </c>
      <c r="G51" s="8">
        <f>SUMIFS(Table3[Result],Table3[SI],$A51,Table3[Year],B$1)</f>
        <v>0</v>
      </c>
      <c r="H51" s="7">
        <f>SUMIFS(Table3[Result],Table3[Round],H$2,Table3[SI],$A51,Table3[Year],H$1)</f>
        <v>0</v>
      </c>
      <c r="I51" s="7">
        <f>SUMIFS(Table3[Result],Table3[Round],I$2,Table3[SI],$A51,Table3[Year],H$1)</f>
        <v>0</v>
      </c>
      <c r="J51" s="7">
        <f>SUMIFS(Table3[Result],Table3[Round],J$2,Table3[SI],$A51,Table3[Year],H$1)</f>
        <v>0</v>
      </c>
      <c r="K51" s="7">
        <f>SUMIFS(Table3[Result],Table3[Round],K$2,Table3[SI],$A51,Table3[Year],H$1)</f>
        <v>0</v>
      </c>
      <c r="L51" s="7">
        <f>SUMIFS(Table3[Result],Table3[Round],L$2,Table3[SI],$A51,Table3[Year],H$1)</f>
        <v>0</v>
      </c>
      <c r="M51" s="9">
        <f>SUMIFS(Table3[Result],Table3[SI],$A51,Table3[Year],H$1)</f>
        <v>0</v>
      </c>
      <c r="N51" s="6">
        <f>SUMIFS(Table3[Result],Table3[Round],N$2,Table3[SI],$A51,Table3[Year],N$1)</f>
        <v>0</v>
      </c>
      <c r="O51" s="6">
        <f>SUMIFS(Table3[Result],Table3[Round],O$2,Table3[SI],$A51,Table3[Year],N$1)</f>
        <v>0</v>
      </c>
      <c r="P51" s="6">
        <f>SUMIFS(Table3[Result],Table3[Round],P$2,Table3[SI],$A51,Table3[Year],N$1)</f>
        <v>0</v>
      </c>
      <c r="Q51" s="6">
        <f>SUMIFS(Table3[Result],Table3[Round],Q$2,Table3[SI],$A51,Table3[Year],N$1)</f>
        <v>0</v>
      </c>
      <c r="R51" s="6">
        <f>SUMIFS(Table3[Result],Table3[Round],R$2,Table3[SI],$A51,Table3[Year],N$1)</f>
        <v>0</v>
      </c>
      <c r="S51" s="8">
        <f>SUMIFS(Table3[Result],Table3[SI],$A51,Table3[Year],N$1)</f>
        <v>0</v>
      </c>
      <c r="T51" s="7">
        <f>SUMIFS(Table3[Result],Table3[Round],T$2,Table3[SI],$A51,Table3[Year],T$1)</f>
        <v>0</v>
      </c>
      <c r="U51" s="7">
        <f>SUMIFS(Table3[Result],Table3[Round],U$2,Table3[SI],$A51,Table3[Year],T$1)</f>
        <v>0</v>
      </c>
      <c r="V51" s="7">
        <f>SUMIFS(Table3[Result],Table3[Round],V$2,Table3[SI],$A51,Table3[Year],T$1)</f>
        <v>0</v>
      </c>
      <c r="W51" s="7">
        <f>SUMIFS(Table3[Result],Table3[Round],W$2,Table3[SI],$A51,Table3[Year],T$1)</f>
        <v>0</v>
      </c>
      <c r="X51" s="7">
        <f>SUMIFS(Table3[Result],Table3[Round],X$2,Table3[SI],$A51,Table3[Year],T$1)</f>
        <v>0</v>
      </c>
      <c r="Y51" s="9">
        <f>SUMIFS(Table3[Result],Table3[SI],$A51,Table3[Year],T$1)</f>
        <v>0</v>
      </c>
    </row>
    <row r="52" spans="1:25" ht="14.25" customHeight="1" x14ac:dyDescent="0.2">
      <c r="A52" s="4" t="s">
        <v>267</v>
      </c>
      <c r="B52" s="6">
        <f>SUMIFS(Table3[Result],Table3[Round],B$2,Table3[SI],$A52,Table3[Year],B$1)</f>
        <v>0</v>
      </c>
      <c r="C52" s="6">
        <f>SUMIFS(Table3[Result],Table3[Round],C$2,Table3[SI],$A52,Table3[Year],B$1)</f>
        <v>0</v>
      </c>
      <c r="D52" s="6">
        <f>SUMIFS(Table3[Result],Table3[Round],D$2,Table3[SI],$A52,Table3[Year],B$1)</f>
        <v>0</v>
      </c>
      <c r="E52" s="6">
        <f>SUMIFS(Table3[Result],Table3[Round],E$2,Table3[SI],$A52,Table3[Year],B$1)</f>
        <v>0</v>
      </c>
      <c r="F52" s="6">
        <f>SUMIFS(Table3[Result],Table3[Round],F$2,Table3[SI],$A52,Table3[Year],B$1)</f>
        <v>0</v>
      </c>
      <c r="G52" s="8">
        <f>SUMIFS(Table3[Result],Table3[SI],$A52,Table3[Year],B$1)</f>
        <v>0</v>
      </c>
      <c r="H52" s="7">
        <f>SUMIFS(Table3[Result],Table3[Round],H$2,Table3[SI],$A52,Table3[Year],H$1)</f>
        <v>0</v>
      </c>
      <c r="I52" s="7">
        <f>SUMIFS(Table3[Result],Table3[Round],I$2,Table3[SI],$A52,Table3[Year],H$1)</f>
        <v>0</v>
      </c>
      <c r="J52" s="7">
        <f>SUMIFS(Table3[Result],Table3[Round],J$2,Table3[SI],$A52,Table3[Year],H$1)</f>
        <v>0</v>
      </c>
      <c r="K52" s="7">
        <f>SUMIFS(Table3[Result],Table3[Round],K$2,Table3[SI],$A52,Table3[Year],H$1)</f>
        <v>0</v>
      </c>
      <c r="L52" s="7">
        <f>SUMIFS(Table3[Result],Table3[Round],L$2,Table3[SI],$A52,Table3[Year],H$1)</f>
        <v>0</v>
      </c>
      <c r="M52" s="9">
        <f>SUMIFS(Table3[Result],Table3[SI],$A52,Table3[Year],H$1)</f>
        <v>0</v>
      </c>
      <c r="N52" s="6">
        <f>SUMIFS(Table3[Result],Table3[Round],N$2,Table3[SI],$A52,Table3[Year],N$1)</f>
        <v>0</v>
      </c>
      <c r="O52" s="6">
        <f>SUMIFS(Table3[Result],Table3[Round],O$2,Table3[SI],$A52,Table3[Year],N$1)</f>
        <v>0</v>
      </c>
      <c r="P52" s="6">
        <f>SUMIFS(Table3[Result],Table3[Round],P$2,Table3[SI],$A52,Table3[Year],N$1)</f>
        <v>0</v>
      </c>
      <c r="Q52" s="6">
        <f>SUMIFS(Table3[Result],Table3[Round],Q$2,Table3[SI],$A52,Table3[Year],N$1)</f>
        <v>0</v>
      </c>
      <c r="R52" s="6">
        <f>SUMIFS(Table3[Result],Table3[Round],R$2,Table3[SI],$A52,Table3[Year],N$1)</f>
        <v>0</v>
      </c>
      <c r="S52" s="8">
        <f>SUMIFS(Table3[Result],Table3[SI],$A52,Table3[Year],N$1)</f>
        <v>0</v>
      </c>
      <c r="T52" s="7">
        <f>SUMIFS(Table3[Result],Table3[Round],T$2,Table3[SI],$A52,Table3[Year],T$1)</f>
        <v>0</v>
      </c>
      <c r="U52" s="7">
        <f>SUMIFS(Table3[Result],Table3[Round],U$2,Table3[SI],$A52,Table3[Year],T$1)</f>
        <v>0</v>
      </c>
      <c r="V52" s="7">
        <f>SUMIFS(Table3[Result],Table3[Round],V$2,Table3[SI],$A52,Table3[Year],T$1)</f>
        <v>0</v>
      </c>
      <c r="W52" s="7">
        <f>SUMIFS(Table3[Result],Table3[Round],W$2,Table3[SI],$A52,Table3[Year],T$1)</f>
        <v>0</v>
      </c>
      <c r="X52" s="7">
        <f>SUMIFS(Table3[Result],Table3[Round],X$2,Table3[SI],$A52,Table3[Year],T$1)</f>
        <v>0</v>
      </c>
      <c r="Y52" s="9">
        <f>SUMIFS(Table3[Result],Table3[SI],$A52,Table3[Year],T$1)</f>
        <v>0</v>
      </c>
    </row>
    <row r="53" spans="1:25" ht="14.25" customHeight="1" x14ac:dyDescent="0.2">
      <c r="A53" s="4" t="s">
        <v>269</v>
      </c>
      <c r="B53" s="6">
        <f>SUMIFS(Table3[Result],Table3[Round],B$2,Table3[SI],$A53,Table3[Year],B$1)</f>
        <v>0</v>
      </c>
      <c r="C53" s="6">
        <f>SUMIFS(Table3[Result],Table3[Round],C$2,Table3[SI],$A53,Table3[Year],B$1)</f>
        <v>0</v>
      </c>
      <c r="D53" s="6">
        <f>SUMIFS(Table3[Result],Table3[Round],D$2,Table3[SI],$A53,Table3[Year],B$1)</f>
        <v>0</v>
      </c>
      <c r="E53" s="6">
        <f>SUMIFS(Table3[Result],Table3[Round],E$2,Table3[SI],$A53,Table3[Year],B$1)</f>
        <v>0</v>
      </c>
      <c r="F53" s="6">
        <f>SUMIFS(Table3[Result],Table3[Round],F$2,Table3[SI],$A53,Table3[Year],B$1)</f>
        <v>0</v>
      </c>
      <c r="G53" s="8">
        <f>SUMIFS(Table3[Result],Table3[SI],$A53,Table3[Year],B$1)</f>
        <v>0</v>
      </c>
      <c r="H53" s="7">
        <f>SUMIFS(Table3[Result],Table3[Round],H$2,Table3[SI],$A53,Table3[Year],H$1)</f>
        <v>0</v>
      </c>
      <c r="I53" s="7">
        <f>SUMIFS(Table3[Result],Table3[Round],I$2,Table3[SI],$A53,Table3[Year],H$1)</f>
        <v>0</v>
      </c>
      <c r="J53" s="7">
        <f>SUMIFS(Table3[Result],Table3[Round],J$2,Table3[SI],$A53,Table3[Year],H$1)</f>
        <v>0</v>
      </c>
      <c r="K53" s="7">
        <f>SUMIFS(Table3[Result],Table3[Round],K$2,Table3[SI],$A53,Table3[Year],H$1)</f>
        <v>0</v>
      </c>
      <c r="L53" s="7">
        <f>SUMIFS(Table3[Result],Table3[Round],L$2,Table3[SI],$A53,Table3[Year],H$1)</f>
        <v>0</v>
      </c>
      <c r="M53" s="9">
        <f>SUMIFS(Table3[Result],Table3[SI],$A53,Table3[Year],H$1)</f>
        <v>0</v>
      </c>
      <c r="N53" s="6">
        <f>SUMIFS(Table3[Result],Table3[Round],N$2,Table3[SI],$A53,Table3[Year],N$1)</f>
        <v>0</v>
      </c>
      <c r="O53" s="6">
        <f>SUMIFS(Table3[Result],Table3[Round],O$2,Table3[SI],$A53,Table3[Year],N$1)</f>
        <v>0</v>
      </c>
      <c r="P53" s="6">
        <f>SUMIFS(Table3[Result],Table3[Round],P$2,Table3[SI],$A53,Table3[Year],N$1)</f>
        <v>0</v>
      </c>
      <c r="Q53" s="6">
        <f>SUMIFS(Table3[Result],Table3[Round],Q$2,Table3[SI],$A53,Table3[Year],N$1)</f>
        <v>0</v>
      </c>
      <c r="R53" s="6">
        <f>SUMIFS(Table3[Result],Table3[Round],R$2,Table3[SI],$A53,Table3[Year],N$1)</f>
        <v>0</v>
      </c>
      <c r="S53" s="8">
        <f>SUMIFS(Table3[Result],Table3[SI],$A53,Table3[Year],N$1)</f>
        <v>0</v>
      </c>
      <c r="T53" s="7">
        <f>SUMIFS(Table3[Result],Table3[Round],T$2,Table3[SI],$A53,Table3[Year],T$1)</f>
        <v>0</v>
      </c>
      <c r="U53" s="7">
        <f>SUMIFS(Table3[Result],Table3[Round],U$2,Table3[SI],$A53,Table3[Year],T$1)</f>
        <v>0</v>
      </c>
      <c r="V53" s="7">
        <f>SUMIFS(Table3[Result],Table3[Round],V$2,Table3[SI],$A53,Table3[Year],T$1)</f>
        <v>0</v>
      </c>
      <c r="W53" s="7">
        <f>SUMIFS(Table3[Result],Table3[Round],W$2,Table3[SI],$A53,Table3[Year],T$1)</f>
        <v>0</v>
      </c>
      <c r="X53" s="7">
        <f>SUMIFS(Table3[Result],Table3[Round],X$2,Table3[SI],$A53,Table3[Year],T$1)</f>
        <v>0</v>
      </c>
      <c r="Y53" s="9">
        <f>SUMIFS(Table3[Result],Table3[SI],$A53,Table3[Year],T$1)</f>
        <v>0</v>
      </c>
    </row>
    <row r="54" spans="1:25" ht="14.25" customHeight="1" x14ac:dyDescent="0.2">
      <c r="A54" s="4" t="s">
        <v>271</v>
      </c>
      <c r="B54" s="6">
        <f>SUMIFS(Table3[Result],Table3[Round],B$2,Table3[SI],$A54,Table3[Year],B$1)</f>
        <v>0</v>
      </c>
      <c r="C54" s="6">
        <f>SUMIFS(Table3[Result],Table3[Round],C$2,Table3[SI],$A54,Table3[Year],B$1)</f>
        <v>0</v>
      </c>
      <c r="D54" s="6">
        <f>SUMIFS(Table3[Result],Table3[Round],D$2,Table3[SI],$A54,Table3[Year],B$1)</f>
        <v>0</v>
      </c>
      <c r="E54" s="6">
        <f>SUMIFS(Table3[Result],Table3[Round],E$2,Table3[SI],$A54,Table3[Year],B$1)</f>
        <v>0</v>
      </c>
      <c r="F54" s="6">
        <f>SUMIFS(Table3[Result],Table3[Round],F$2,Table3[SI],$A54,Table3[Year],B$1)</f>
        <v>0</v>
      </c>
      <c r="G54" s="8">
        <f>SUMIFS(Table3[Result],Table3[SI],$A54,Table3[Year],B$1)</f>
        <v>0</v>
      </c>
      <c r="H54" s="7">
        <f>SUMIFS(Table3[Result],Table3[Round],H$2,Table3[SI],$A54,Table3[Year],H$1)</f>
        <v>0</v>
      </c>
      <c r="I54" s="7">
        <f>SUMIFS(Table3[Result],Table3[Round],I$2,Table3[SI],$A54,Table3[Year],H$1)</f>
        <v>0</v>
      </c>
      <c r="J54" s="7">
        <f>SUMIFS(Table3[Result],Table3[Round],J$2,Table3[SI],$A54,Table3[Year],H$1)</f>
        <v>0</v>
      </c>
      <c r="K54" s="7">
        <f>SUMIFS(Table3[Result],Table3[Round],K$2,Table3[SI],$A54,Table3[Year],H$1)</f>
        <v>0</v>
      </c>
      <c r="L54" s="7">
        <f>SUMIFS(Table3[Result],Table3[Round],L$2,Table3[SI],$A54,Table3[Year],H$1)</f>
        <v>0</v>
      </c>
      <c r="M54" s="9">
        <f>SUMIFS(Table3[Result],Table3[SI],$A54,Table3[Year],H$1)</f>
        <v>0</v>
      </c>
      <c r="N54" s="6">
        <f>SUMIFS(Table3[Result],Table3[Round],N$2,Table3[SI],$A54,Table3[Year],N$1)</f>
        <v>0</v>
      </c>
      <c r="O54" s="6">
        <f>SUMIFS(Table3[Result],Table3[Round],O$2,Table3[SI],$A54,Table3[Year],N$1)</f>
        <v>0</v>
      </c>
      <c r="P54" s="6">
        <f>SUMIFS(Table3[Result],Table3[Round],P$2,Table3[SI],$A54,Table3[Year],N$1)</f>
        <v>0</v>
      </c>
      <c r="Q54" s="6">
        <f>SUMIFS(Table3[Result],Table3[Round],Q$2,Table3[SI],$A54,Table3[Year],N$1)</f>
        <v>0</v>
      </c>
      <c r="R54" s="6">
        <f>SUMIFS(Table3[Result],Table3[Round],R$2,Table3[SI],$A54,Table3[Year],N$1)</f>
        <v>0</v>
      </c>
      <c r="S54" s="8">
        <f>SUMIFS(Table3[Result],Table3[SI],$A54,Table3[Year],N$1)</f>
        <v>0</v>
      </c>
      <c r="T54" s="7">
        <f>SUMIFS(Table3[Result],Table3[Round],T$2,Table3[SI],$A54,Table3[Year],T$1)</f>
        <v>0</v>
      </c>
      <c r="U54" s="7">
        <f>SUMIFS(Table3[Result],Table3[Round],U$2,Table3[SI],$A54,Table3[Year],T$1)</f>
        <v>0</v>
      </c>
      <c r="V54" s="7">
        <f>SUMIFS(Table3[Result],Table3[Round],V$2,Table3[SI],$A54,Table3[Year],T$1)</f>
        <v>0</v>
      </c>
      <c r="W54" s="7">
        <f>SUMIFS(Table3[Result],Table3[Round],W$2,Table3[SI],$A54,Table3[Year],T$1)</f>
        <v>0</v>
      </c>
      <c r="X54" s="7">
        <f>SUMIFS(Table3[Result],Table3[Round],X$2,Table3[SI],$A54,Table3[Year],T$1)</f>
        <v>0</v>
      </c>
      <c r="Y54" s="9">
        <f>SUMIFS(Table3[Result],Table3[SI],$A54,Table3[Year],T$1)</f>
        <v>0</v>
      </c>
    </row>
    <row r="55" spans="1:25" ht="14.25" customHeight="1" x14ac:dyDescent="0.2">
      <c r="A55" s="4" t="s">
        <v>273</v>
      </c>
      <c r="B55" s="6">
        <f>SUMIFS(Table3[Result],Table3[Round],B$2,Table3[SI],$A55,Table3[Year],B$1)</f>
        <v>0</v>
      </c>
      <c r="C55" s="6">
        <f>SUMIFS(Table3[Result],Table3[Round],C$2,Table3[SI],$A55,Table3[Year],B$1)</f>
        <v>0</v>
      </c>
      <c r="D55" s="6">
        <f>SUMIFS(Table3[Result],Table3[Round],D$2,Table3[SI],$A55,Table3[Year],B$1)</f>
        <v>0</v>
      </c>
      <c r="E55" s="6">
        <f>SUMIFS(Table3[Result],Table3[Round],E$2,Table3[SI],$A55,Table3[Year],B$1)</f>
        <v>0</v>
      </c>
      <c r="F55" s="6">
        <f>SUMIFS(Table3[Result],Table3[Round],F$2,Table3[SI],$A55,Table3[Year],B$1)</f>
        <v>0</v>
      </c>
      <c r="G55" s="8">
        <f>SUMIFS(Table3[Result],Table3[SI],$A55,Table3[Year],B$1)</f>
        <v>0</v>
      </c>
      <c r="H55" s="7">
        <f>SUMIFS(Table3[Result],Table3[Round],H$2,Table3[SI],$A55,Table3[Year],H$1)</f>
        <v>0</v>
      </c>
      <c r="I55" s="7">
        <f>SUMIFS(Table3[Result],Table3[Round],I$2,Table3[SI],$A55,Table3[Year],H$1)</f>
        <v>0</v>
      </c>
      <c r="J55" s="7">
        <f>SUMIFS(Table3[Result],Table3[Round],J$2,Table3[SI],$A55,Table3[Year],H$1)</f>
        <v>0</v>
      </c>
      <c r="K55" s="7">
        <f>SUMIFS(Table3[Result],Table3[Round],K$2,Table3[SI],$A55,Table3[Year],H$1)</f>
        <v>0</v>
      </c>
      <c r="L55" s="7">
        <f>SUMIFS(Table3[Result],Table3[Round],L$2,Table3[SI],$A55,Table3[Year],H$1)</f>
        <v>0</v>
      </c>
      <c r="M55" s="9">
        <f>SUMIFS(Table3[Result],Table3[SI],$A55,Table3[Year],H$1)</f>
        <v>0</v>
      </c>
      <c r="N55" s="6">
        <f>SUMIFS(Table3[Result],Table3[Round],N$2,Table3[SI],$A55,Table3[Year],N$1)</f>
        <v>0</v>
      </c>
      <c r="O55" s="6">
        <f>SUMIFS(Table3[Result],Table3[Round],O$2,Table3[SI],$A55,Table3[Year],N$1)</f>
        <v>0</v>
      </c>
      <c r="P55" s="6">
        <f>SUMIFS(Table3[Result],Table3[Round],P$2,Table3[SI],$A55,Table3[Year],N$1)</f>
        <v>0</v>
      </c>
      <c r="Q55" s="6">
        <f>SUMIFS(Table3[Result],Table3[Round],Q$2,Table3[SI],$A55,Table3[Year],N$1)</f>
        <v>0</v>
      </c>
      <c r="R55" s="6">
        <f>SUMIFS(Table3[Result],Table3[Round],R$2,Table3[SI],$A55,Table3[Year],N$1)</f>
        <v>0</v>
      </c>
      <c r="S55" s="8">
        <f>SUMIFS(Table3[Result],Table3[SI],$A55,Table3[Year],N$1)</f>
        <v>0</v>
      </c>
      <c r="T55" s="7">
        <f>SUMIFS(Table3[Result],Table3[Round],T$2,Table3[SI],$A55,Table3[Year],T$1)</f>
        <v>0</v>
      </c>
      <c r="U55" s="7">
        <f>SUMIFS(Table3[Result],Table3[Round],U$2,Table3[SI],$A55,Table3[Year],T$1)</f>
        <v>0</v>
      </c>
      <c r="V55" s="7">
        <f>SUMIFS(Table3[Result],Table3[Round],V$2,Table3[SI],$A55,Table3[Year],T$1)</f>
        <v>0</v>
      </c>
      <c r="W55" s="7">
        <f>SUMIFS(Table3[Result],Table3[Round],W$2,Table3[SI],$A55,Table3[Year],T$1)</f>
        <v>0</v>
      </c>
      <c r="X55" s="7">
        <f>SUMIFS(Table3[Result],Table3[Round],X$2,Table3[SI],$A55,Table3[Year],T$1)</f>
        <v>0</v>
      </c>
      <c r="Y55" s="9">
        <f>SUMIFS(Table3[Result],Table3[SI],$A55,Table3[Year],T$1)</f>
        <v>0</v>
      </c>
    </row>
    <row r="56" spans="1:25" ht="14.25" customHeight="1" x14ac:dyDescent="0.2">
      <c r="A56" s="4" t="s">
        <v>275</v>
      </c>
      <c r="B56" s="6">
        <f>SUMIFS(Table3[Result],Table3[Round],B$2,Table3[SI],$A56,Table3[Year],B$1)</f>
        <v>0</v>
      </c>
      <c r="C56" s="6">
        <f>SUMIFS(Table3[Result],Table3[Round],C$2,Table3[SI],$A56,Table3[Year],B$1)</f>
        <v>0</v>
      </c>
      <c r="D56" s="6">
        <f>SUMIFS(Table3[Result],Table3[Round],D$2,Table3[SI],$A56,Table3[Year],B$1)</f>
        <v>0</v>
      </c>
      <c r="E56" s="6">
        <f>SUMIFS(Table3[Result],Table3[Round],E$2,Table3[SI],$A56,Table3[Year],B$1)</f>
        <v>0</v>
      </c>
      <c r="F56" s="6">
        <f>SUMIFS(Table3[Result],Table3[Round],F$2,Table3[SI],$A56,Table3[Year],B$1)</f>
        <v>0</v>
      </c>
      <c r="G56" s="8">
        <f>SUMIFS(Table3[Result],Table3[SI],$A56,Table3[Year],B$1)</f>
        <v>0</v>
      </c>
      <c r="H56" s="7">
        <f>SUMIFS(Table3[Result],Table3[Round],H$2,Table3[SI],$A56,Table3[Year],H$1)</f>
        <v>0</v>
      </c>
      <c r="I56" s="7">
        <f>SUMIFS(Table3[Result],Table3[Round],I$2,Table3[SI],$A56,Table3[Year],H$1)</f>
        <v>0</v>
      </c>
      <c r="J56" s="7">
        <f>SUMIFS(Table3[Result],Table3[Round],J$2,Table3[SI],$A56,Table3[Year],H$1)</f>
        <v>0</v>
      </c>
      <c r="K56" s="7">
        <f>SUMIFS(Table3[Result],Table3[Round],K$2,Table3[SI],$A56,Table3[Year],H$1)</f>
        <v>0</v>
      </c>
      <c r="L56" s="7">
        <f>SUMIFS(Table3[Result],Table3[Round],L$2,Table3[SI],$A56,Table3[Year],H$1)</f>
        <v>0</v>
      </c>
      <c r="M56" s="9">
        <f>SUMIFS(Table3[Result],Table3[SI],$A56,Table3[Year],H$1)</f>
        <v>0</v>
      </c>
      <c r="N56" s="6">
        <f>SUMIFS(Table3[Result],Table3[Round],N$2,Table3[SI],$A56,Table3[Year],N$1)</f>
        <v>0</v>
      </c>
      <c r="O56" s="6">
        <f>SUMIFS(Table3[Result],Table3[Round],O$2,Table3[SI],$A56,Table3[Year],N$1)</f>
        <v>0</v>
      </c>
      <c r="P56" s="6">
        <f>SUMIFS(Table3[Result],Table3[Round],P$2,Table3[SI],$A56,Table3[Year],N$1)</f>
        <v>0</v>
      </c>
      <c r="Q56" s="6">
        <f>SUMIFS(Table3[Result],Table3[Round],Q$2,Table3[SI],$A56,Table3[Year],N$1)</f>
        <v>0</v>
      </c>
      <c r="R56" s="6">
        <f>SUMIFS(Table3[Result],Table3[Round],R$2,Table3[SI],$A56,Table3[Year],N$1)</f>
        <v>0</v>
      </c>
      <c r="S56" s="8">
        <f>SUMIFS(Table3[Result],Table3[SI],$A56,Table3[Year],N$1)</f>
        <v>0</v>
      </c>
      <c r="T56" s="7">
        <f>SUMIFS(Table3[Result],Table3[Round],T$2,Table3[SI],$A56,Table3[Year],T$1)</f>
        <v>0</v>
      </c>
      <c r="U56" s="7">
        <f>SUMIFS(Table3[Result],Table3[Round],U$2,Table3[SI],$A56,Table3[Year],T$1)</f>
        <v>0</v>
      </c>
      <c r="V56" s="7">
        <f>SUMIFS(Table3[Result],Table3[Round],V$2,Table3[SI],$A56,Table3[Year],T$1)</f>
        <v>0</v>
      </c>
      <c r="W56" s="7">
        <f>SUMIFS(Table3[Result],Table3[Round],W$2,Table3[SI],$A56,Table3[Year],T$1)</f>
        <v>0</v>
      </c>
      <c r="X56" s="7">
        <f>SUMIFS(Table3[Result],Table3[Round],X$2,Table3[SI],$A56,Table3[Year],T$1)</f>
        <v>0</v>
      </c>
      <c r="Y56" s="9">
        <f>SUMIFS(Table3[Result],Table3[SI],$A56,Table3[Year],T$1)</f>
        <v>0</v>
      </c>
    </row>
    <row r="57" spans="1:25" ht="14.25" customHeight="1" x14ac:dyDescent="0.2">
      <c r="A57" s="4" t="s">
        <v>277</v>
      </c>
      <c r="B57" s="6">
        <f>SUMIFS(Table3[Result],Table3[Round],B$2,Table3[SI],$A57,Table3[Year],B$1)</f>
        <v>0</v>
      </c>
      <c r="C57" s="6">
        <f>SUMIFS(Table3[Result],Table3[Round],C$2,Table3[SI],$A57,Table3[Year],B$1)</f>
        <v>0</v>
      </c>
      <c r="D57" s="6">
        <f>SUMIFS(Table3[Result],Table3[Round],D$2,Table3[SI],$A57,Table3[Year],B$1)</f>
        <v>0</v>
      </c>
      <c r="E57" s="6">
        <f>SUMIFS(Table3[Result],Table3[Round],E$2,Table3[SI],$A57,Table3[Year],B$1)</f>
        <v>0</v>
      </c>
      <c r="F57" s="6">
        <f>SUMIFS(Table3[Result],Table3[Round],F$2,Table3[SI],$A57,Table3[Year],B$1)</f>
        <v>0</v>
      </c>
      <c r="G57" s="8">
        <f>SUMIFS(Table3[Result],Table3[SI],$A57,Table3[Year],B$1)</f>
        <v>0</v>
      </c>
      <c r="H57" s="7">
        <f>SUMIFS(Table3[Result],Table3[Round],H$2,Table3[SI],$A57,Table3[Year],H$1)</f>
        <v>0</v>
      </c>
      <c r="I57" s="7">
        <f>SUMIFS(Table3[Result],Table3[Round],I$2,Table3[SI],$A57,Table3[Year],H$1)</f>
        <v>0</v>
      </c>
      <c r="J57" s="7">
        <f>SUMIFS(Table3[Result],Table3[Round],J$2,Table3[SI],$A57,Table3[Year],H$1)</f>
        <v>0</v>
      </c>
      <c r="K57" s="7">
        <f>SUMIFS(Table3[Result],Table3[Round],K$2,Table3[SI],$A57,Table3[Year],H$1)</f>
        <v>0</v>
      </c>
      <c r="L57" s="7">
        <f>SUMIFS(Table3[Result],Table3[Round],L$2,Table3[SI],$A57,Table3[Year],H$1)</f>
        <v>0</v>
      </c>
      <c r="M57" s="9">
        <f>SUMIFS(Table3[Result],Table3[SI],$A57,Table3[Year],H$1)</f>
        <v>0</v>
      </c>
      <c r="N57" s="6">
        <f>SUMIFS(Table3[Result],Table3[Round],N$2,Table3[SI],$A57,Table3[Year],N$1)</f>
        <v>0</v>
      </c>
      <c r="O57" s="6">
        <f>SUMIFS(Table3[Result],Table3[Round],O$2,Table3[SI],$A57,Table3[Year],N$1)</f>
        <v>0</v>
      </c>
      <c r="P57" s="6">
        <f>SUMIFS(Table3[Result],Table3[Round],P$2,Table3[SI],$A57,Table3[Year],N$1)</f>
        <v>0</v>
      </c>
      <c r="Q57" s="6">
        <f>SUMIFS(Table3[Result],Table3[Round],Q$2,Table3[SI],$A57,Table3[Year],N$1)</f>
        <v>0</v>
      </c>
      <c r="R57" s="6">
        <f>SUMIFS(Table3[Result],Table3[Round],R$2,Table3[SI],$A57,Table3[Year],N$1)</f>
        <v>0</v>
      </c>
      <c r="S57" s="8">
        <f>SUMIFS(Table3[Result],Table3[SI],$A57,Table3[Year],N$1)</f>
        <v>0</v>
      </c>
      <c r="T57" s="7">
        <f>SUMIFS(Table3[Result],Table3[Round],T$2,Table3[SI],$A57,Table3[Year],T$1)</f>
        <v>0</v>
      </c>
      <c r="U57" s="7">
        <f>SUMIFS(Table3[Result],Table3[Round],U$2,Table3[SI],$A57,Table3[Year],T$1)</f>
        <v>0</v>
      </c>
      <c r="V57" s="7">
        <f>SUMIFS(Table3[Result],Table3[Round],V$2,Table3[SI],$A57,Table3[Year],T$1)</f>
        <v>0</v>
      </c>
      <c r="W57" s="7">
        <f>SUMIFS(Table3[Result],Table3[Round],W$2,Table3[SI],$A57,Table3[Year],T$1)</f>
        <v>0</v>
      </c>
      <c r="X57" s="7">
        <f>SUMIFS(Table3[Result],Table3[Round],X$2,Table3[SI],$A57,Table3[Year],T$1)</f>
        <v>0</v>
      </c>
      <c r="Y57" s="9">
        <f>SUMIFS(Table3[Result],Table3[SI],$A57,Table3[Year],T$1)</f>
        <v>0</v>
      </c>
    </row>
    <row r="58" spans="1:25" ht="14.25" customHeight="1" x14ac:dyDescent="0.2">
      <c r="A58" s="4" t="s">
        <v>279</v>
      </c>
      <c r="B58" s="6">
        <f>SUMIFS(Table3[Result],Table3[Round],B$2,Table3[SI],$A58,Table3[Year],B$1)</f>
        <v>0</v>
      </c>
      <c r="C58" s="6">
        <f>SUMIFS(Table3[Result],Table3[Round],C$2,Table3[SI],$A58,Table3[Year],B$1)</f>
        <v>0</v>
      </c>
      <c r="D58" s="6">
        <f>SUMIFS(Table3[Result],Table3[Round],D$2,Table3[SI],$A58,Table3[Year],B$1)</f>
        <v>0</v>
      </c>
      <c r="E58" s="6">
        <f>SUMIFS(Table3[Result],Table3[Round],E$2,Table3[SI],$A58,Table3[Year],B$1)</f>
        <v>0</v>
      </c>
      <c r="F58" s="6">
        <f>SUMIFS(Table3[Result],Table3[Round],F$2,Table3[SI],$A58,Table3[Year],B$1)</f>
        <v>0</v>
      </c>
      <c r="G58" s="8">
        <f>SUMIFS(Table3[Result],Table3[SI],$A58,Table3[Year],B$1)</f>
        <v>0</v>
      </c>
      <c r="H58" s="7">
        <f>SUMIFS(Table3[Result],Table3[Round],H$2,Table3[SI],$A58,Table3[Year],H$1)</f>
        <v>0</v>
      </c>
      <c r="I58" s="7">
        <f>SUMIFS(Table3[Result],Table3[Round],I$2,Table3[SI],$A58,Table3[Year],H$1)</f>
        <v>0</v>
      </c>
      <c r="J58" s="7">
        <f>SUMIFS(Table3[Result],Table3[Round],J$2,Table3[SI],$A58,Table3[Year],H$1)</f>
        <v>0</v>
      </c>
      <c r="K58" s="7">
        <f>SUMIFS(Table3[Result],Table3[Round],K$2,Table3[SI],$A58,Table3[Year],H$1)</f>
        <v>0</v>
      </c>
      <c r="L58" s="7">
        <f>SUMIFS(Table3[Result],Table3[Round],L$2,Table3[SI],$A58,Table3[Year],H$1)</f>
        <v>0</v>
      </c>
      <c r="M58" s="9">
        <f>SUMIFS(Table3[Result],Table3[SI],$A58,Table3[Year],H$1)</f>
        <v>0</v>
      </c>
      <c r="N58" s="6">
        <f>SUMIFS(Table3[Result],Table3[Round],N$2,Table3[SI],$A58,Table3[Year],N$1)</f>
        <v>0</v>
      </c>
      <c r="O58" s="6">
        <f>SUMIFS(Table3[Result],Table3[Round],O$2,Table3[SI],$A58,Table3[Year],N$1)</f>
        <v>0</v>
      </c>
      <c r="P58" s="6">
        <f>SUMIFS(Table3[Result],Table3[Round],P$2,Table3[SI],$A58,Table3[Year],N$1)</f>
        <v>0</v>
      </c>
      <c r="Q58" s="6">
        <f>SUMIFS(Table3[Result],Table3[Round],Q$2,Table3[SI],$A58,Table3[Year],N$1)</f>
        <v>1.08</v>
      </c>
      <c r="R58" s="6">
        <f>SUMIFS(Table3[Result],Table3[Round],R$2,Table3[SI],$A58,Table3[Year],N$1)</f>
        <v>0</v>
      </c>
      <c r="S58" s="8">
        <f>SUMIFS(Table3[Result],Table3[SI],$A58,Table3[Year],N$1)</f>
        <v>1.08</v>
      </c>
      <c r="T58" s="7">
        <f>SUMIFS(Table3[Result],Table3[Round],T$2,Table3[SI],$A58,Table3[Year],T$1)</f>
        <v>0</v>
      </c>
      <c r="U58" s="7">
        <f>SUMIFS(Table3[Result],Table3[Round],U$2,Table3[SI],$A58,Table3[Year],T$1)</f>
        <v>0</v>
      </c>
      <c r="V58" s="7">
        <f>SUMIFS(Table3[Result],Table3[Round],V$2,Table3[SI],$A58,Table3[Year],T$1)</f>
        <v>0</v>
      </c>
      <c r="W58" s="7">
        <f>SUMIFS(Table3[Result],Table3[Round],W$2,Table3[SI],$A58,Table3[Year],T$1)</f>
        <v>0</v>
      </c>
      <c r="X58" s="7">
        <f>SUMIFS(Table3[Result],Table3[Round],X$2,Table3[SI],$A58,Table3[Year],T$1)</f>
        <v>214</v>
      </c>
      <c r="Y58" s="9">
        <f>SUMIFS(Table3[Result],Table3[SI],$A58,Table3[Year],T$1)</f>
        <v>214</v>
      </c>
    </row>
    <row r="59" spans="1:25" ht="14.25" customHeight="1" x14ac:dyDescent="0.2">
      <c r="A59" s="4" t="s">
        <v>281</v>
      </c>
      <c r="B59" s="6">
        <f>SUMIFS(Table3[Result],Table3[Round],B$2,Table3[SI],$A59,Table3[Year],B$1)</f>
        <v>0</v>
      </c>
      <c r="C59" s="6">
        <f>SUMIFS(Table3[Result],Table3[Round],C$2,Table3[SI],$A59,Table3[Year],B$1)</f>
        <v>0</v>
      </c>
      <c r="D59" s="6">
        <f>SUMIFS(Table3[Result],Table3[Round],D$2,Table3[SI],$A59,Table3[Year],B$1)</f>
        <v>0</v>
      </c>
      <c r="E59" s="6">
        <f>SUMIFS(Table3[Result],Table3[Round],E$2,Table3[SI],$A59,Table3[Year],B$1)</f>
        <v>0</v>
      </c>
      <c r="F59" s="6">
        <f>SUMIFS(Table3[Result],Table3[Round],F$2,Table3[SI],$A59,Table3[Year],B$1)</f>
        <v>0</v>
      </c>
      <c r="G59" s="8">
        <f>SUMIFS(Table3[Result],Table3[SI],$A59,Table3[Year],B$1)</f>
        <v>0</v>
      </c>
      <c r="H59" s="7">
        <f>SUMIFS(Table3[Result],Table3[Round],H$2,Table3[SI],$A59,Table3[Year],H$1)</f>
        <v>0</v>
      </c>
      <c r="I59" s="7">
        <f>SUMIFS(Table3[Result],Table3[Round],I$2,Table3[SI],$A59,Table3[Year],H$1)</f>
        <v>0</v>
      </c>
      <c r="J59" s="7">
        <f>SUMIFS(Table3[Result],Table3[Round],J$2,Table3[SI],$A59,Table3[Year],H$1)</f>
        <v>0</v>
      </c>
      <c r="K59" s="7">
        <f>SUMIFS(Table3[Result],Table3[Round],K$2,Table3[SI],$A59,Table3[Year],H$1)</f>
        <v>0</v>
      </c>
      <c r="L59" s="7">
        <f>SUMIFS(Table3[Result],Table3[Round],L$2,Table3[SI],$A59,Table3[Year],H$1)</f>
        <v>0</v>
      </c>
      <c r="M59" s="9">
        <f>SUMIFS(Table3[Result],Table3[SI],$A59,Table3[Year],H$1)</f>
        <v>0</v>
      </c>
      <c r="N59" s="6">
        <f>SUMIFS(Table3[Result],Table3[Round],N$2,Table3[SI],$A59,Table3[Year],N$1)</f>
        <v>0</v>
      </c>
      <c r="O59" s="6">
        <f>SUMIFS(Table3[Result],Table3[Round],O$2,Table3[SI],$A59,Table3[Year],N$1)</f>
        <v>0</v>
      </c>
      <c r="P59" s="6">
        <f>SUMIFS(Table3[Result],Table3[Round],P$2,Table3[SI],$A59,Table3[Year],N$1)</f>
        <v>0</v>
      </c>
      <c r="Q59" s="6">
        <f>SUMIFS(Table3[Result],Table3[Round],Q$2,Table3[SI],$A59,Table3[Year],N$1)</f>
        <v>0</v>
      </c>
      <c r="R59" s="6">
        <f>SUMIFS(Table3[Result],Table3[Round],R$2,Table3[SI],$A59,Table3[Year],N$1)</f>
        <v>0</v>
      </c>
      <c r="S59" s="8">
        <f>SUMIFS(Table3[Result],Table3[SI],$A59,Table3[Year],N$1)</f>
        <v>0</v>
      </c>
      <c r="T59" s="7">
        <f>SUMIFS(Table3[Result],Table3[Round],T$2,Table3[SI],$A59,Table3[Year],T$1)</f>
        <v>0</v>
      </c>
      <c r="U59" s="7">
        <f>SUMIFS(Table3[Result],Table3[Round],U$2,Table3[SI],$A59,Table3[Year],T$1)</f>
        <v>0</v>
      </c>
      <c r="V59" s="7">
        <f>SUMIFS(Table3[Result],Table3[Round],V$2,Table3[SI],$A59,Table3[Year],T$1)</f>
        <v>0</v>
      </c>
      <c r="W59" s="7">
        <f>SUMIFS(Table3[Result],Table3[Round],W$2,Table3[SI],$A59,Table3[Year],T$1)</f>
        <v>0</v>
      </c>
      <c r="X59" s="7">
        <f>SUMIFS(Table3[Result],Table3[Round],X$2,Table3[SI],$A59,Table3[Year],T$1)</f>
        <v>0</v>
      </c>
      <c r="Y59" s="9">
        <f>SUMIFS(Table3[Result],Table3[SI],$A59,Table3[Year],T$1)</f>
        <v>0</v>
      </c>
    </row>
    <row r="60" spans="1:25" ht="14.25" customHeight="1" x14ac:dyDescent="0.2">
      <c r="A60" s="4" t="s">
        <v>283</v>
      </c>
      <c r="B60" s="6">
        <f>SUMIFS(Table3[Result],Table3[Round],B$2,Table3[SI],$A60,Table3[Year],B$1)</f>
        <v>0</v>
      </c>
      <c r="C60" s="6">
        <f>SUMIFS(Table3[Result],Table3[Round],C$2,Table3[SI],$A60,Table3[Year],B$1)</f>
        <v>0</v>
      </c>
      <c r="D60" s="6">
        <f>SUMIFS(Table3[Result],Table3[Round],D$2,Table3[SI],$A60,Table3[Year],B$1)</f>
        <v>0</v>
      </c>
      <c r="E60" s="6">
        <f>SUMIFS(Table3[Result],Table3[Round],E$2,Table3[SI],$A60,Table3[Year],B$1)</f>
        <v>0</v>
      </c>
      <c r="F60" s="6">
        <f>SUMIFS(Table3[Result],Table3[Round],F$2,Table3[SI],$A60,Table3[Year],B$1)</f>
        <v>0</v>
      </c>
      <c r="G60" s="8">
        <f>SUMIFS(Table3[Result],Table3[SI],$A60,Table3[Year],B$1)</f>
        <v>0</v>
      </c>
      <c r="H60" s="7">
        <f>SUMIFS(Table3[Result],Table3[Round],H$2,Table3[SI],$A60,Table3[Year],H$1)</f>
        <v>0</v>
      </c>
      <c r="I60" s="7">
        <f>SUMIFS(Table3[Result],Table3[Round],I$2,Table3[SI],$A60,Table3[Year],H$1)</f>
        <v>0</v>
      </c>
      <c r="J60" s="7">
        <f>SUMIFS(Table3[Result],Table3[Round],J$2,Table3[SI],$A60,Table3[Year],H$1)</f>
        <v>0</v>
      </c>
      <c r="K60" s="7">
        <f>SUMIFS(Table3[Result],Table3[Round],K$2,Table3[SI],$A60,Table3[Year],H$1)</f>
        <v>0</v>
      </c>
      <c r="L60" s="7">
        <f>SUMIFS(Table3[Result],Table3[Round],L$2,Table3[SI],$A60,Table3[Year],H$1)</f>
        <v>0</v>
      </c>
      <c r="M60" s="9">
        <f>SUMIFS(Table3[Result],Table3[SI],$A60,Table3[Year],H$1)</f>
        <v>0</v>
      </c>
      <c r="N60" s="6">
        <f>SUMIFS(Table3[Result],Table3[Round],N$2,Table3[SI],$A60,Table3[Year],N$1)</f>
        <v>0</v>
      </c>
      <c r="O60" s="6">
        <f>SUMIFS(Table3[Result],Table3[Round],O$2,Table3[SI],$A60,Table3[Year],N$1)</f>
        <v>0</v>
      </c>
      <c r="P60" s="6">
        <f>SUMIFS(Table3[Result],Table3[Round],P$2,Table3[SI],$A60,Table3[Year],N$1)</f>
        <v>0</v>
      </c>
      <c r="Q60" s="6">
        <f>SUMIFS(Table3[Result],Table3[Round],Q$2,Table3[SI],$A60,Table3[Year],N$1)</f>
        <v>0</v>
      </c>
      <c r="R60" s="6">
        <f>SUMIFS(Table3[Result],Table3[Round],R$2,Table3[SI],$A60,Table3[Year],N$1)</f>
        <v>0</v>
      </c>
      <c r="S60" s="8">
        <f>SUMIFS(Table3[Result],Table3[SI],$A60,Table3[Year],N$1)</f>
        <v>0</v>
      </c>
      <c r="T60" s="7">
        <f>SUMIFS(Table3[Result],Table3[Round],T$2,Table3[SI],$A60,Table3[Year],T$1)</f>
        <v>0</v>
      </c>
      <c r="U60" s="7">
        <f>SUMIFS(Table3[Result],Table3[Round],U$2,Table3[SI],$A60,Table3[Year],T$1)</f>
        <v>0</v>
      </c>
      <c r="V60" s="7">
        <f>SUMIFS(Table3[Result],Table3[Round],V$2,Table3[SI],$A60,Table3[Year],T$1)</f>
        <v>0</v>
      </c>
      <c r="W60" s="7">
        <f>SUMIFS(Table3[Result],Table3[Round],W$2,Table3[SI],$A60,Table3[Year],T$1)</f>
        <v>0</v>
      </c>
      <c r="X60" s="7">
        <f>SUMIFS(Table3[Result],Table3[Round],X$2,Table3[SI],$A60,Table3[Year],T$1)</f>
        <v>0</v>
      </c>
      <c r="Y60" s="9">
        <f>SUMIFS(Table3[Result],Table3[SI],$A60,Table3[Year],T$1)</f>
        <v>0</v>
      </c>
    </row>
    <row r="61" spans="1:25" ht="14.25" customHeight="1" x14ac:dyDescent="0.2">
      <c r="A61" s="4" t="s">
        <v>285</v>
      </c>
      <c r="B61" s="6">
        <f>SUMIFS(Table3[Result],Table3[Round],B$2,Table3[SI],$A61,Table3[Year],B$1)</f>
        <v>0</v>
      </c>
      <c r="C61" s="6">
        <f>SUMIFS(Table3[Result],Table3[Round],C$2,Table3[SI],$A61,Table3[Year],B$1)</f>
        <v>0</v>
      </c>
      <c r="D61" s="6">
        <f>SUMIFS(Table3[Result],Table3[Round],D$2,Table3[SI],$A61,Table3[Year],B$1)</f>
        <v>0</v>
      </c>
      <c r="E61" s="6">
        <f>SUMIFS(Table3[Result],Table3[Round],E$2,Table3[SI],$A61,Table3[Year],B$1)</f>
        <v>0</v>
      </c>
      <c r="F61" s="6">
        <f>SUMIFS(Table3[Result],Table3[Round],F$2,Table3[SI],$A61,Table3[Year],B$1)</f>
        <v>0</v>
      </c>
      <c r="G61" s="8">
        <f>SUMIFS(Table3[Result],Table3[SI],$A61,Table3[Year],B$1)</f>
        <v>0</v>
      </c>
      <c r="H61" s="7">
        <f>SUMIFS(Table3[Result],Table3[Round],H$2,Table3[SI],$A61,Table3[Year],H$1)</f>
        <v>0</v>
      </c>
      <c r="I61" s="7">
        <f>SUMIFS(Table3[Result],Table3[Round],I$2,Table3[SI],$A61,Table3[Year],H$1)</f>
        <v>0</v>
      </c>
      <c r="J61" s="7">
        <f>SUMIFS(Table3[Result],Table3[Round],J$2,Table3[SI],$A61,Table3[Year],H$1)</f>
        <v>0</v>
      </c>
      <c r="K61" s="7">
        <f>SUMIFS(Table3[Result],Table3[Round],K$2,Table3[SI],$A61,Table3[Year],H$1)</f>
        <v>0</v>
      </c>
      <c r="L61" s="7">
        <f>SUMIFS(Table3[Result],Table3[Round],L$2,Table3[SI],$A61,Table3[Year],H$1)</f>
        <v>0</v>
      </c>
      <c r="M61" s="9">
        <f>SUMIFS(Table3[Result],Table3[SI],$A61,Table3[Year],H$1)</f>
        <v>0</v>
      </c>
      <c r="N61" s="6">
        <f>SUMIFS(Table3[Result],Table3[Round],N$2,Table3[SI],$A61,Table3[Year],N$1)</f>
        <v>0</v>
      </c>
      <c r="O61" s="6">
        <f>SUMIFS(Table3[Result],Table3[Round],O$2,Table3[SI],$A61,Table3[Year],N$1)</f>
        <v>0</v>
      </c>
      <c r="P61" s="6">
        <f>SUMIFS(Table3[Result],Table3[Round],P$2,Table3[SI],$A61,Table3[Year],N$1)</f>
        <v>0</v>
      </c>
      <c r="Q61" s="6">
        <f>SUMIFS(Table3[Result],Table3[Round],Q$2,Table3[SI],$A61,Table3[Year],N$1)</f>
        <v>0</v>
      </c>
      <c r="R61" s="6">
        <f>SUMIFS(Table3[Result],Table3[Round],R$2,Table3[SI],$A61,Table3[Year],N$1)</f>
        <v>0</v>
      </c>
      <c r="S61" s="8">
        <f>SUMIFS(Table3[Result],Table3[SI],$A61,Table3[Year],N$1)</f>
        <v>0</v>
      </c>
      <c r="T61" s="7">
        <f>SUMIFS(Table3[Result],Table3[Round],T$2,Table3[SI],$A61,Table3[Year],T$1)</f>
        <v>0</v>
      </c>
      <c r="U61" s="7">
        <f>SUMIFS(Table3[Result],Table3[Round],U$2,Table3[SI],$A61,Table3[Year],T$1)</f>
        <v>0</v>
      </c>
      <c r="V61" s="7">
        <f>SUMIFS(Table3[Result],Table3[Round],V$2,Table3[SI],$A61,Table3[Year],T$1)</f>
        <v>0</v>
      </c>
      <c r="W61" s="7">
        <f>SUMIFS(Table3[Result],Table3[Round],W$2,Table3[SI],$A61,Table3[Year],T$1)</f>
        <v>0</v>
      </c>
      <c r="X61" s="7">
        <f>SUMIFS(Table3[Result],Table3[Round],X$2,Table3[SI],$A61,Table3[Year],T$1)</f>
        <v>0</v>
      </c>
      <c r="Y61" s="9">
        <f>SUMIFS(Table3[Result],Table3[SI],$A61,Table3[Year],T$1)</f>
        <v>0</v>
      </c>
    </row>
    <row r="62" spans="1:25" ht="14.25" customHeight="1" x14ac:dyDescent="0.2">
      <c r="A62" s="4" t="s">
        <v>287</v>
      </c>
      <c r="B62" s="6">
        <f>SUMIFS(Table3[Result],Table3[Round],B$2,Table3[SI],$A62,Table3[Year],B$1)</f>
        <v>0</v>
      </c>
      <c r="C62" s="6">
        <f>SUMIFS(Table3[Result],Table3[Round],C$2,Table3[SI],$A62,Table3[Year],B$1)</f>
        <v>0</v>
      </c>
      <c r="D62" s="6">
        <f>SUMIFS(Table3[Result],Table3[Round],D$2,Table3[SI],$A62,Table3[Year],B$1)</f>
        <v>0</v>
      </c>
      <c r="E62" s="6">
        <f>SUMIFS(Table3[Result],Table3[Round],E$2,Table3[SI],$A62,Table3[Year],B$1)</f>
        <v>0</v>
      </c>
      <c r="F62" s="6">
        <f>SUMIFS(Table3[Result],Table3[Round],F$2,Table3[SI],$A62,Table3[Year],B$1)</f>
        <v>0</v>
      </c>
      <c r="G62" s="8">
        <f>SUMIFS(Table3[Result],Table3[SI],$A62,Table3[Year],B$1)</f>
        <v>0</v>
      </c>
      <c r="H62" s="7">
        <f>SUMIFS(Table3[Result],Table3[Round],H$2,Table3[SI],$A62,Table3[Year],H$1)</f>
        <v>0</v>
      </c>
      <c r="I62" s="7">
        <f>SUMIFS(Table3[Result],Table3[Round],I$2,Table3[SI],$A62,Table3[Year],H$1)</f>
        <v>0</v>
      </c>
      <c r="J62" s="7">
        <f>SUMIFS(Table3[Result],Table3[Round],J$2,Table3[SI],$A62,Table3[Year],H$1)</f>
        <v>0</v>
      </c>
      <c r="K62" s="7">
        <f>SUMIFS(Table3[Result],Table3[Round],K$2,Table3[SI],$A62,Table3[Year],H$1)</f>
        <v>0</v>
      </c>
      <c r="L62" s="7">
        <f>SUMIFS(Table3[Result],Table3[Round],L$2,Table3[SI],$A62,Table3[Year],H$1)</f>
        <v>0</v>
      </c>
      <c r="M62" s="9">
        <f>SUMIFS(Table3[Result],Table3[SI],$A62,Table3[Year],H$1)</f>
        <v>0</v>
      </c>
      <c r="N62" s="6">
        <f>SUMIFS(Table3[Result],Table3[Round],N$2,Table3[SI],$A62,Table3[Year],N$1)</f>
        <v>0</v>
      </c>
      <c r="O62" s="6">
        <f>SUMIFS(Table3[Result],Table3[Round],O$2,Table3[SI],$A62,Table3[Year],N$1)</f>
        <v>0</v>
      </c>
      <c r="P62" s="6">
        <f>SUMIFS(Table3[Result],Table3[Round],P$2,Table3[SI],$A62,Table3[Year],N$1)</f>
        <v>0</v>
      </c>
      <c r="Q62" s="6">
        <f>SUMIFS(Table3[Result],Table3[Round],Q$2,Table3[SI],$A62,Table3[Year],N$1)</f>
        <v>0</v>
      </c>
      <c r="R62" s="6">
        <f>SUMIFS(Table3[Result],Table3[Round],R$2,Table3[SI],$A62,Table3[Year],N$1)</f>
        <v>0</v>
      </c>
      <c r="S62" s="8">
        <f>SUMIFS(Table3[Result],Table3[SI],$A62,Table3[Year],N$1)</f>
        <v>0</v>
      </c>
      <c r="T62" s="7">
        <f>SUMIFS(Table3[Result],Table3[Round],T$2,Table3[SI],$A62,Table3[Year],T$1)</f>
        <v>0</v>
      </c>
      <c r="U62" s="7">
        <f>SUMIFS(Table3[Result],Table3[Round],U$2,Table3[SI],$A62,Table3[Year],T$1)</f>
        <v>0</v>
      </c>
      <c r="V62" s="7">
        <f>SUMIFS(Table3[Result],Table3[Round],V$2,Table3[SI],$A62,Table3[Year],T$1)</f>
        <v>0</v>
      </c>
      <c r="W62" s="7">
        <f>SUMIFS(Table3[Result],Table3[Round],W$2,Table3[SI],$A62,Table3[Year],T$1)</f>
        <v>0</v>
      </c>
      <c r="X62" s="7">
        <f>SUMIFS(Table3[Result],Table3[Round],X$2,Table3[SI],$A62,Table3[Year],T$1)</f>
        <v>0</v>
      </c>
      <c r="Y62" s="9">
        <f>SUMIFS(Table3[Result],Table3[SI],$A62,Table3[Year],T$1)</f>
        <v>0</v>
      </c>
    </row>
    <row r="63" spans="1:25" ht="14.25" customHeight="1" x14ac:dyDescent="0.2">
      <c r="A63" s="4"/>
      <c r="B63" s="6"/>
      <c r="C63" s="6"/>
      <c r="D63" s="6"/>
      <c r="E63" s="6"/>
      <c r="F63" s="6"/>
      <c r="G63" s="8"/>
      <c r="H63" s="7"/>
      <c r="I63" s="7"/>
      <c r="J63" s="7"/>
      <c r="K63" s="7"/>
      <c r="L63" s="7"/>
      <c r="M63" s="9"/>
      <c r="N63" s="6"/>
      <c r="O63" s="6"/>
      <c r="P63" s="6"/>
      <c r="Q63" s="6"/>
      <c r="R63" s="6"/>
      <c r="S63" s="8"/>
      <c r="T63" s="7"/>
      <c r="U63" s="7"/>
      <c r="V63" s="7"/>
      <c r="W63" s="7"/>
      <c r="X63" s="7"/>
      <c r="Y63" s="9"/>
    </row>
    <row r="64" spans="1:25" ht="14.25" customHeight="1" x14ac:dyDescent="0.2">
      <c r="A64" s="4" t="s">
        <v>290</v>
      </c>
      <c r="B64" s="6">
        <f>SUMIFS(Table3[Result],Table3[Round],B$2,Table3[SI],$A64,Table3[Year],B$1)</f>
        <v>0</v>
      </c>
      <c r="C64" s="6">
        <f>SUMIFS(Table3[Result],Table3[Round],C$2,Table3[SI],$A64,Table3[Year],B$1)</f>
        <v>0</v>
      </c>
      <c r="D64" s="6">
        <f>SUMIFS(Table3[Result],Table3[Round],D$2,Table3[SI],$A64,Table3[Year],B$1)</f>
        <v>0</v>
      </c>
      <c r="E64" s="6">
        <f>SUMIFS(Table3[Result],Table3[Round],E$2,Table3[SI],$A64,Table3[Year],B$1)</f>
        <v>0</v>
      </c>
      <c r="F64" s="6">
        <f>SUMIFS(Table3[Result],Table3[Round],F$2,Table3[SI],$A64,Table3[Year],B$1)</f>
        <v>0</v>
      </c>
      <c r="G64" s="8">
        <f>SUMIFS(Table3[Result],Table3[SI],$A64,Table3[Year],B$1)</f>
        <v>0</v>
      </c>
      <c r="H64" s="7">
        <f>SUMIFS(Table3[Result],Table3[Round],H$2,Table3[SI],$A64,Table3[Year],H$1)</f>
        <v>0</v>
      </c>
      <c r="I64" s="7">
        <f>SUMIFS(Table3[Result],Table3[Round],I$2,Table3[SI],$A64,Table3[Year],H$1)</f>
        <v>0</v>
      </c>
      <c r="J64" s="7">
        <f>SUMIFS(Table3[Result],Table3[Round],J$2,Table3[SI],$A64,Table3[Year],H$1)</f>
        <v>0</v>
      </c>
      <c r="K64" s="7">
        <f>SUMIFS(Table3[Result],Table3[Round],K$2,Table3[SI],$A64,Table3[Year],H$1)</f>
        <v>0</v>
      </c>
      <c r="L64" s="7">
        <f>SUMIFS(Table3[Result],Table3[Round],L$2,Table3[SI],$A64,Table3[Year],H$1)</f>
        <v>0</v>
      </c>
      <c r="M64" s="9">
        <f>SUMIFS(Table3[Result],Table3[SI],$A64,Table3[Year],H$1)</f>
        <v>0</v>
      </c>
      <c r="N64" s="6">
        <f>SUMIFS(Table3[Result],Table3[Round],N$2,Table3[SI],$A64,Table3[Year],N$1)</f>
        <v>0</v>
      </c>
      <c r="O64" s="6">
        <f>SUMIFS(Table3[Result],Table3[Round],O$2,Table3[SI],$A64,Table3[Year],N$1)</f>
        <v>0</v>
      </c>
      <c r="P64" s="6">
        <f>SUMIFS(Table3[Result],Table3[Round],P$2,Table3[SI],$A64,Table3[Year],N$1)</f>
        <v>0</v>
      </c>
      <c r="Q64" s="6">
        <f>SUMIFS(Table3[Result],Table3[Round],Q$2,Table3[SI],$A64,Table3[Year],N$1)</f>
        <v>0</v>
      </c>
      <c r="R64" s="6">
        <f>SUMIFS(Table3[Result],Table3[Round],R$2,Table3[SI],$A64,Table3[Year],N$1)</f>
        <v>0</v>
      </c>
      <c r="S64" s="8">
        <f>SUMIFS(Table3[Result],Table3[SI],$A64,Table3[Year],N$1)</f>
        <v>0</v>
      </c>
      <c r="T64" s="7">
        <f>SUMIFS(Table3[Result],Table3[Round],T$2,Table3[SI],$A64,Table3[Year],T$1)</f>
        <v>0</v>
      </c>
      <c r="U64" s="7">
        <f>SUMIFS(Table3[Result],Table3[Round],U$2,Table3[SI],$A64,Table3[Year],T$1)</f>
        <v>0</v>
      </c>
      <c r="V64" s="7">
        <f>SUMIFS(Table3[Result],Table3[Round],V$2,Table3[SI],$A64,Table3[Year],T$1)</f>
        <v>0</v>
      </c>
      <c r="W64" s="7">
        <f>SUMIFS(Table3[Result],Table3[Round],W$2,Table3[SI],$A64,Table3[Year],T$1)</f>
        <v>0</v>
      </c>
      <c r="X64" s="7">
        <f>SUMIFS(Table3[Result],Table3[Round],X$2,Table3[SI],$A64,Table3[Year],T$1)</f>
        <v>0</v>
      </c>
      <c r="Y64" s="9">
        <f>SUMIFS(Table3[Result],Table3[SI],$A64,Table3[Year],T$1)</f>
        <v>0</v>
      </c>
    </row>
    <row r="65" spans="1:25" ht="14.25" customHeight="1" x14ac:dyDescent="0.2">
      <c r="A65" s="4" t="s">
        <v>292</v>
      </c>
      <c r="B65" s="6">
        <f>SUMIFS(Table3[Result],Table3[Round],B$2,Table3[SI],$A65,Table3[Year],B$1)</f>
        <v>0</v>
      </c>
      <c r="C65" s="6">
        <f>SUMIFS(Table3[Result],Table3[Round],C$2,Table3[SI],$A65,Table3[Year],B$1)</f>
        <v>0</v>
      </c>
      <c r="D65" s="6">
        <f>SUMIFS(Table3[Result],Table3[Round],D$2,Table3[SI],$A65,Table3[Year],B$1)</f>
        <v>0</v>
      </c>
      <c r="E65" s="6">
        <f>SUMIFS(Table3[Result],Table3[Round],E$2,Table3[SI],$A65,Table3[Year],B$1)</f>
        <v>0</v>
      </c>
      <c r="F65" s="6">
        <f>SUMIFS(Table3[Result],Table3[Round],F$2,Table3[SI],$A65,Table3[Year],B$1)</f>
        <v>0</v>
      </c>
      <c r="G65" s="8">
        <f>SUMIFS(Table3[Result],Table3[SI],$A65,Table3[Year],B$1)</f>
        <v>0</v>
      </c>
      <c r="H65" s="7">
        <f>SUMIFS(Table3[Result],Table3[Round],H$2,Table3[SI],$A65,Table3[Year],H$1)</f>
        <v>0</v>
      </c>
      <c r="I65" s="7">
        <f>SUMIFS(Table3[Result],Table3[Round],I$2,Table3[SI],$A65,Table3[Year],H$1)</f>
        <v>0</v>
      </c>
      <c r="J65" s="7">
        <f>SUMIFS(Table3[Result],Table3[Round],J$2,Table3[SI],$A65,Table3[Year],H$1)</f>
        <v>0</v>
      </c>
      <c r="K65" s="7">
        <f>SUMIFS(Table3[Result],Table3[Round],K$2,Table3[SI],$A65,Table3[Year],H$1)</f>
        <v>0</v>
      </c>
      <c r="L65" s="7">
        <f>SUMIFS(Table3[Result],Table3[Round],L$2,Table3[SI],$A65,Table3[Year],H$1)</f>
        <v>0</v>
      </c>
      <c r="M65" s="9">
        <f>SUMIFS(Table3[Result],Table3[SI],$A65,Table3[Year],H$1)</f>
        <v>0</v>
      </c>
      <c r="N65" s="6">
        <f>SUMIFS(Table3[Result],Table3[Round],N$2,Table3[SI],$A65,Table3[Year],N$1)</f>
        <v>0</v>
      </c>
      <c r="O65" s="6">
        <f>SUMIFS(Table3[Result],Table3[Round],O$2,Table3[SI],$A65,Table3[Year],N$1)</f>
        <v>0</v>
      </c>
      <c r="P65" s="6">
        <f>SUMIFS(Table3[Result],Table3[Round],P$2,Table3[SI],$A65,Table3[Year],N$1)</f>
        <v>0</v>
      </c>
      <c r="Q65" s="6">
        <f>SUMIFS(Table3[Result],Table3[Round],Q$2,Table3[SI],$A65,Table3[Year],N$1)</f>
        <v>0</v>
      </c>
      <c r="R65" s="6">
        <f>SUMIFS(Table3[Result],Table3[Round],R$2,Table3[SI],$A65,Table3[Year],N$1)</f>
        <v>0</v>
      </c>
      <c r="S65" s="8">
        <f>SUMIFS(Table3[Result],Table3[SI],$A65,Table3[Year],N$1)</f>
        <v>0</v>
      </c>
      <c r="T65" s="7">
        <f>SUMIFS(Table3[Result],Table3[Round],T$2,Table3[SI],$A65,Table3[Year],T$1)</f>
        <v>0</v>
      </c>
      <c r="U65" s="7">
        <f>SUMIFS(Table3[Result],Table3[Round],U$2,Table3[SI],$A65,Table3[Year],T$1)</f>
        <v>0</v>
      </c>
      <c r="V65" s="7">
        <f>SUMIFS(Table3[Result],Table3[Round],V$2,Table3[SI],$A65,Table3[Year],T$1)</f>
        <v>0</v>
      </c>
      <c r="W65" s="7">
        <f>SUMIFS(Table3[Result],Table3[Round],W$2,Table3[SI],$A65,Table3[Year],T$1)</f>
        <v>0</v>
      </c>
      <c r="X65" s="7">
        <f>SUMIFS(Table3[Result],Table3[Round],X$2,Table3[SI],$A65,Table3[Year],T$1)</f>
        <v>0</v>
      </c>
      <c r="Y65" s="9">
        <f>SUMIFS(Table3[Result],Table3[SI],$A65,Table3[Year],T$1)</f>
        <v>0</v>
      </c>
    </row>
    <row r="66" spans="1:25" ht="14.25" customHeight="1" x14ac:dyDescent="0.2">
      <c r="A66" s="4" t="s">
        <v>294</v>
      </c>
      <c r="B66" s="6">
        <f>SUMIFS(Table3[Result],Table3[Round],B$2,Table3[SI],$A66,Table3[Year],B$1)</f>
        <v>0</v>
      </c>
      <c r="C66" s="6">
        <f>SUMIFS(Table3[Result],Table3[Round],C$2,Table3[SI],$A66,Table3[Year],B$1)</f>
        <v>0</v>
      </c>
      <c r="D66" s="6">
        <f>SUMIFS(Table3[Result],Table3[Round],D$2,Table3[SI],$A66,Table3[Year],B$1)</f>
        <v>0</v>
      </c>
      <c r="E66" s="6">
        <f>SUMIFS(Table3[Result],Table3[Round],E$2,Table3[SI],$A66,Table3[Year],B$1)</f>
        <v>0</v>
      </c>
      <c r="F66" s="6">
        <f>SUMIFS(Table3[Result],Table3[Round],F$2,Table3[SI],$A66,Table3[Year],B$1)</f>
        <v>0</v>
      </c>
      <c r="G66" s="8">
        <f>SUMIFS(Table3[Result],Table3[SI],$A66,Table3[Year],B$1)</f>
        <v>0</v>
      </c>
      <c r="H66" s="7">
        <f>SUMIFS(Table3[Result],Table3[Round],H$2,Table3[SI],$A66,Table3[Year],H$1)</f>
        <v>0</v>
      </c>
      <c r="I66" s="7">
        <f>SUMIFS(Table3[Result],Table3[Round],I$2,Table3[SI],$A66,Table3[Year],H$1)</f>
        <v>0</v>
      </c>
      <c r="J66" s="7">
        <f>SUMIFS(Table3[Result],Table3[Round],J$2,Table3[SI],$A66,Table3[Year],H$1)</f>
        <v>0</v>
      </c>
      <c r="K66" s="7">
        <f>SUMIFS(Table3[Result],Table3[Round],K$2,Table3[SI],$A66,Table3[Year],H$1)</f>
        <v>0</v>
      </c>
      <c r="L66" s="7">
        <f>SUMIFS(Table3[Result],Table3[Round],L$2,Table3[SI],$A66,Table3[Year],H$1)</f>
        <v>0</v>
      </c>
      <c r="M66" s="9">
        <f>SUMIFS(Table3[Result],Table3[SI],$A66,Table3[Year],H$1)</f>
        <v>0</v>
      </c>
      <c r="N66" s="6">
        <f>SUMIFS(Table3[Result],Table3[Round],N$2,Table3[SI],$A66,Table3[Year],N$1)</f>
        <v>0</v>
      </c>
      <c r="O66" s="6">
        <f>SUMIFS(Table3[Result],Table3[Round],O$2,Table3[SI],$A66,Table3[Year],N$1)</f>
        <v>0</v>
      </c>
      <c r="P66" s="6">
        <f>SUMIFS(Table3[Result],Table3[Round],P$2,Table3[SI],$A66,Table3[Year],N$1)</f>
        <v>0</v>
      </c>
      <c r="Q66" s="6">
        <f>SUMIFS(Table3[Result],Table3[Round],Q$2,Table3[SI],$A66,Table3[Year],N$1)</f>
        <v>0</v>
      </c>
      <c r="R66" s="6">
        <f>SUMIFS(Table3[Result],Table3[Round],R$2,Table3[SI],$A66,Table3[Year],N$1)</f>
        <v>0</v>
      </c>
      <c r="S66" s="8">
        <f>SUMIFS(Table3[Result],Table3[SI],$A66,Table3[Year],N$1)</f>
        <v>0</v>
      </c>
      <c r="T66" s="7">
        <f>SUMIFS(Table3[Result],Table3[Round],T$2,Table3[SI],$A66,Table3[Year],T$1)</f>
        <v>0</v>
      </c>
      <c r="U66" s="7">
        <f>SUMIFS(Table3[Result],Table3[Round],U$2,Table3[SI],$A66,Table3[Year],T$1)</f>
        <v>0</v>
      </c>
      <c r="V66" s="7">
        <f>SUMIFS(Table3[Result],Table3[Round],V$2,Table3[SI],$A66,Table3[Year],T$1)</f>
        <v>0</v>
      </c>
      <c r="W66" s="7">
        <f>SUMIFS(Table3[Result],Table3[Round],W$2,Table3[SI],$A66,Table3[Year],T$1)</f>
        <v>0</v>
      </c>
      <c r="X66" s="7">
        <f>SUMIFS(Table3[Result],Table3[Round],X$2,Table3[SI],$A66,Table3[Year],T$1)</f>
        <v>0</v>
      </c>
      <c r="Y66" s="9">
        <f>SUMIFS(Table3[Result],Table3[SI],$A66,Table3[Year],T$1)</f>
        <v>0</v>
      </c>
    </row>
  </sheetData>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F5C-ED91-4B66-89A1-C6D1748D46A2}">
  <dimension ref="A1:T66"/>
  <sheetViews>
    <sheetView showRuler="0" zoomScale="77" zoomScaleNormal="77" zoomScaleSheetLayoutView="400" zoomScalePageLayoutView="90" workbookViewId="0">
      <pane xSplit="1" ySplit="2" topLeftCell="B38" activePane="bottomRight" state="frozen"/>
      <selection pane="topRight" activeCell="C1" sqref="C1"/>
      <selection pane="bottomLeft" activeCell="A3" sqref="A3"/>
      <selection pane="bottomRight" activeCell="E3" sqref="E3"/>
    </sheetView>
  </sheetViews>
  <sheetFormatPr defaultColWidth="9.28515625" defaultRowHeight="14.25" customHeight="1" x14ac:dyDescent="0.2"/>
  <cols>
    <col min="1" max="1" width="12" style="1" customWidth="1"/>
    <col min="2" max="4" width="9.28515625" style="1" bestFit="1" customWidth="1"/>
    <col min="5" max="5" width="10.42578125" style="1" bestFit="1" customWidth="1"/>
    <col min="6" max="6" width="9.28515625" style="1" bestFit="1" customWidth="1"/>
    <col min="7" max="7" width="4" style="1" customWidth="1"/>
    <col min="8" max="8" width="7.5703125" style="1" bestFit="1" customWidth="1"/>
    <col min="9" max="12" width="9.28515625" style="1"/>
    <col min="13" max="13" width="3.28515625" style="1" customWidth="1"/>
    <col min="14" max="16384" width="9.28515625" style="1"/>
  </cols>
  <sheetData>
    <row r="1" spans="1:20" ht="14.25" customHeight="1" x14ac:dyDescent="0.2">
      <c r="A1" s="411" t="s">
        <v>856</v>
      </c>
      <c r="B1" s="402" t="s">
        <v>857</v>
      </c>
      <c r="C1" s="403"/>
      <c r="D1" s="403"/>
      <c r="E1" s="403"/>
      <c r="F1" s="404"/>
      <c r="H1" s="405" t="s">
        <v>858</v>
      </c>
      <c r="I1" s="406"/>
      <c r="J1" s="406"/>
      <c r="K1" s="406"/>
      <c r="L1" s="407"/>
      <c r="N1" s="408" t="s">
        <v>859</v>
      </c>
      <c r="O1" s="409"/>
      <c r="P1" s="409"/>
      <c r="Q1" s="409"/>
      <c r="R1" s="410"/>
    </row>
    <row r="2" spans="1:20" ht="14.25" customHeight="1" x14ac:dyDescent="0.2">
      <c r="A2" s="412"/>
      <c r="B2" s="43">
        <v>7</v>
      </c>
      <c r="C2" s="44">
        <v>8</v>
      </c>
      <c r="D2" s="44">
        <v>9</v>
      </c>
      <c r="E2" s="44">
        <v>10</v>
      </c>
      <c r="F2" s="45">
        <v>11</v>
      </c>
      <c r="H2" s="49">
        <v>7</v>
      </c>
      <c r="I2" s="50">
        <v>8</v>
      </c>
      <c r="J2" s="50">
        <v>9</v>
      </c>
      <c r="K2" s="50">
        <v>10</v>
      </c>
      <c r="L2" s="51">
        <v>11</v>
      </c>
      <c r="N2" s="52">
        <v>7</v>
      </c>
      <c r="O2" s="53">
        <v>8</v>
      </c>
      <c r="P2" s="53">
        <v>9</v>
      </c>
      <c r="Q2" s="53">
        <v>10</v>
      </c>
      <c r="R2" s="54">
        <v>11</v>
      </c>
    </row>
    <row r="3" spans="1:20" ht="14.25" customHeight="1" x14ac:dyDescent="0.2">
      <c r="A3" s="61" t="s">
        <v>164</v>
      </c>
      <c r="B3" s="10">
        <f>SUMIFS(Table3[Result],Table3[Round],B$2,Table3[SI],$A3)</f>
        <v>3</v>
      </c>
      <c r="C3" s="11">
        <f>SUMIFS(Table3[Result],Table3[Round],C$2,Table3[SI],$A3)</f>
        <v>91</v>
      </c>
      <c r="D3" s="11">
        <f>SUMIFS(Table3[Result],Table3[Round],D$2,Table3[SI],$A3)</f>
        <v>578</v>
      </c>
      <c r="E3" s="11">
        <f>SUMIFS(Table3[Result],Table3[Round],E$2,Table3[SI],$A3)</f>
        <v>250</v>
      </c>
      <c r="F3" s="12">
        <f>SUMIFS(Table3[Result],Table3[Round],F$2,Table3[SI],$A3)</f>
        <v>19</v>
      </c>
      <c r="H3" s="34">
        <f>COUNTIFS(Data_Planned!$B:$B, $A3, Data_Planned!$C:$C, H$2)</f>
        <v>0</v>
      </c>
      <c r="I3" s="1">
        <f>COUNTIFS(Data_Planned!$B:$B, $A3, Data_Planned!$C:$C, I$2)</f>
        <v>6</v>
      </c>
      <c r="J3" s="1">
        <f>COUNTIFS(Data_Planned!$B:$B, $A3, Data_Planned!$C:$C, J$2)</f>
        <v>15</v>
      </c>
      <c r="K3" s="1">
        <f>COUNTIFS(Data_Planned!$B:$B, $A3, Data_Planned!$C:$C, K$2)</f>
        <v>18</v>
      </c>
      <c r="L3" s="35">
        <f>COUNTIFS(Data_Planned!$B:$B, $A3, Data_Planned!$C:$C, L$2)</f>
        <v>5</v>
      </c>
      <c r="N3" s="55">
        <f>SUMIFS(Data_Planned!$D:$D,Data_Planned!$C:$C,#REF!,Data_Planned!$B:$B,$A3)</f>
        <v>0</v>
      </c>
      <c r="O3" s="42">
        <f>SUMIFS(Data_Planned!$D:$D,Data_Planned!$C:$C,O$2,Data_Planned!$B:$B,$A3)</f>
        <v>188</v>
      </c>
      <c r="P3" s="42">
        <f>SUMIFS(Data_Planned!$D:$D,Data_Planned!$C:$C,P$2,Data_Planned!$B:$B,$A3)</f>
        <v>624</v>
      </c>
      <c r="Q3" s="42">
        <f>SUMIFS(Data_Planned!$D:$D,Data_Planned!$C:$C,Q$2,Data_Planned!$B:$B,$A3)</f>
        <v>548</v>
      </c>
      <c r="R3" s="56">
        <f>SUMIFS(Data_Planned!$D:$D,Data_Planned!$C:$C,R$2,Data_Planned!$B:$B,$A3)</f>
        <v>72</v>
      </c>
      <c r="T3" s="42"/>
    </row>
    <row r="4" spans="1:20" ht="14.25" customHeight="1" x14ac:dyDescent="0.2">
      <c r="A4" s="61" t="s">
        <v>167</v>
      </c>
      <c r="B4" s="10">
        <f>SUMIFS(Table3[Result],Table3[Round],B$2,Table3[SI],$A4)</f>
        <v>0</v>
      </c>
      <c r="C4" s="11">
        <f>SUMIFS(Table3[Result],Table3[Round],C$2,Table3[SI],$A4)</f>
        <v>0</v>
      </c>
      <c r="D4" s="11">
        <f>SUMIFS(Table3[Result],Table3[Round],D$2,Table3[SI],$A4)</f>
        <v>0</v>
      </c>
      <c r="E4" s="11">
        <f>SUMIFS(Table3[Result],Table3[Round],E$2,Table3[SI],$A4)</f>
        <v>2</v>
      </c>
      <c r="F4" s="12">
        <f>SUMIFS(Table3[Result],Table3[Round],F$2,Table3[SI],$A4)</f>
        <v>1</v>
      </c>
      <c r="H4" s="34">
        <v>0</v>
      </c>
      <c r="I4" s="1">
        <f>COUNTIFS(Data_Planned!$B:$B, $A4, Data_Planned!$C:$C, I$2)</f>
        <v>1</v>
      </c>
      <c r="J4" s="1">
        <f>COUNTIFS(Data_Planned!$B:$B, $A4, Data_Planned!$C:$C, J$2)</f>
        <v>1</v>
      </c>
      <c r="K4" s="1">
        <f>COUNTIFS(Data_Planned!$B:$B, $A4, Data_Planned!$C:$C, K$2)</f>
        <v>2</v>
      </c>
      <c r="L4" s="35">
        <f>COUNTIFS(Data_Planned!$B:$B, $A4, Data_Planned!$C:$C, L$2)</f>
        <v>1</v>
      </c>
      <c r="N4" s="57">
        <f>SUMIFS(Data_Planned!$D:$D,Data_Planned!$C:$C,#REF!,Data_Planned!$B:$B,$A4)</f>
        <v>0</v>
      </c>
      <c r="O4" s="42">
        <f>SUMIFS(Data_Planned!$D:$D,Data_Planned!$C:$C,O$2,Data_Planned!$B:$B,$A4)</f>
        <v>3</v>
      </c>
      <c r="P4" s="42">
        <f>SUMIFS(Data_Planned!$D:$D,Data_Planned!$C:$C,P$2,Data_Planned!$B:$B,$A4)</f>
        <v>2</v>
      </c>
      <c r="Q4" s="42">
        <f>SUMIFS(Data_Planned!$D:$D,Data_Planned!$C:$C,Q$2,Data_Planned!$B:$B,$A4)</f>
        <v>2</v>
      </c>
      <c r="R4" s="56">
        <f>SUMIFS(Data_Planned!$D:$D,Data_Planned!$C:$C,R$2,Data_Planned!$B:$B,$A4)</f>
        <v>8</v>
      </c>
    </row>
    <row r="5" spans="1:20" ht="14.25" customHeight="1" x14ac:dyDescent="0.2">
      <c r="A5" s="61" t="s">
        <v>169</v>
      </c>
      <c r="B5" s="10">
        <f>SUMIFS(Table3[Result],Table3[Round],B$2,Table3[SI],$A5)</f>
        <v>0</v>
      </c>
      <c r="C5" s="11">
        <f>SUMIFS(Table3[Result],Table3[Round],C$2,Table3[SI],$A5)</f>
        <v>3</v>
      </c>
      <c r="D5" s="11">
        <f>SUMIFS(Table3[Result],Table3[Round],D$2,Table3[SI],$A5)</f>
        <v>32</v>
      </c>
      <c r="E5" s="11">
        <f>SUMIFS(Table3[Result],Table3[Round],E$2,Table3[SI],$A5)</f>
        <v>35</v>
      </c>
      <c r="F5" s="12">
        <f>SUMIFS(Table3[Result],Table3[Round],F$2,Table3[SI],$A5)</f>
        <v>1</v>
      </c>
      <c r="H5" s="34">
        <v>0</v>
      </c>
      <c r="I5" s="1">
        <f>COUNTIFS(Data_Planned!$B:$B, $A5, Data_Planned!$C:$C, I$2)</f>
        <v>3</v>
      </c>
      <c r="J5" s="1">
        <f>COUNTIFS(Data_Planned!$B:$B, $A5, Data_Planned!$C:$C, J$2)</f>
        <v>7</v>
      </c>
      <c r="K5" s="1">
        <f>COUNTIFS(Data_Planned!$B:$B, $A5, Data_Planned!$C:$C, K$2)</f>
        <v>11</v>
      </c>
      <c r="L5" s="35">
        <f>COUNTIFS(Data_Planned!$B:$B, $A5, Data_Planned!$C:$C, L$2)</f>
        <v>6</v>
      </c>
      <c r="N5" s="57">
        <f>SUMIFS(Data_Planned!$D:$D,Data_Planned!$C:$C,#REF!,Data_Planned!$B:$B,$A5)</f>
        <v>0</v>
      </c>
      <c r="O5" s="42">
        <f>SUMIFS(Data_Planned!$D:$D,Data_Planned!$C:$C,O$2,Data_Planned!$B:$B,$A5)</f>
        <v>4</v>
      </c>
      <c r="P5" s="42">
        <f>SUMIFS(Data_Planned!$D:$D,Data_Planned!$C:$C,P$2,Data_Planned!$B:$B,$A5)</f>
        <v>21</v>
      </c>
      <c r="Q5" s="42">
        <f>SUMIFS(Data_Planned!$D:$D,Data_Planned!$C:$C,Q$2,Data_Planned!$B:$B,$A5)</f>
        <v>36</v>
      </c>
      <c r="R5" s="56">
        <f>SUMIFS(Data_Planned!$D:$D,Data_Planned!$C:$C,R$2,Data_Planned!$B:$B,$A5)</f>
        <v>13</v>
      </c>
    </row>
    <row r="6" spans="1:20" ht="14.25" customHeight="1" x14ac:dyDescent="0.2">
      <c r="A6" s="61" t="s">
        <v>171</v>
      </c>
      <c r="B6" s="10">
        <f>SUMIFS(Table3[Result],Table3[Round],B$2,Table3[SI],$A6)</f>
        <v>0</v>
      </c>
      <c r="C6" s="11">
        <f>SUMIFS(Table3[Result],Table3[Round],C$2,Table3[SI],$A6)</f>
        <v>0</v>
      </c>
      <c r="D6" s="11">
        <f>SUMIFS(Table3[Result],Table3[Round],D$2,Table3[SI],$A6)</f>
        <v>20</v>
      </c>
      <c r="E6" s="11">
        <f>SUMIFS(Table3[Result],Table3[Round],E$2,Table3[SI],$A6)</f>
        <v>108</v>
      </c>
      <c r="F6" s="12">
        <f>SUMIFS(Table3[Result],Table3[Round],F$2,Table3[SI],$A6)</f>
        <v>0</v>
      </c>
      <c r="H6" s="34">
        <v>0</v>
      </c>
      <c r="I6" s="1">
        <f>COUNTIFS(Data_Planned!$B:$B, $A6, Data_Planned!$C:$C, I$2)</f>
        <v>0</v>
      </c>
      <c r="J6" s="1">
        <f>COUNTIFS(Data_Planned!$B:$B, $A6, Data_Planned!$C:$C, J$2)</f>
        <v>1</v>
      </c>
      <c r="K6" s="1">
        <f>COUNTIFS(Data_Planned!$B:$B, $A6, Data_Planned!$C:$C, K$2)</f>
        <v>8</v>
      </c>
      <c r="L6" s="35">
        <f>COUNTIFS(Data_Planned!$B:$B, $A6, Data_Planned!$C:$C, L$2)</f>
        <v>3</v>
      </c>
      <c r="N6" s="57">
        <f>SUMIFS(Data_Planned!$D:$D,Data_Planned!$C:$C,#REF!,Data_Planned!$B:$B,$A6)</f>
        <v>0</v>
      </c>
      <c r="O6" s="42">
        <f>SUMIFS(Data_Planned!$D:$D,Data_Planned!$C:$C,O$2,Data_Planned!$B:$B,$A6)</f>
        <v>0</v>
      </c>
      <c r="P6" s="42">
        <f>SUMIFS(Data_Planned!$D:$D,Data_Planned!$C:$C,P$2,Data_Planned!$B:$B,$A6)</f>
        <v>20</v>
      </c>
      <c r="Q6" s="42">
        <f>SUMIFS(Data_Planned!$D:$D,Data_Planned!$C:$C,Q$2,Data_Planned!$B:$B,$A6)</f>
        <v>113</v>
      </c>
      <c r="R6" s="56">
        <f>SUMIFS(Data_Planned!$D:$D,Data_Planned!$C:$C,R$2,Data_Planned!$B:$B,$A6)</f>
        <v>11</v>
      </c>
    </row>
    <row r="7" spans="1:20" ht="14.25" customHeight="1" x14ac:dyDescent="0.2">
      <c r="A7" s="61" t="s">
        <v>174</v>
      </c>
      <c r="B7" s="10">
        <f>SUMIFS(Table3[Result],Table3[Round],B$2,Table3[SI],$A7)</f>
        <v>0</v>
      </c>
      <c r="C7" s="11">
        <f>SUMIFS(Table3[Result],Table3[Round],C$2,Table3[SI],$A7)</f>
        <v>0</v>
      </c>
      <c r="D7" s="11">
        <f>SUMIFS(Table3[Result],Table3[Round],D$2,Table3[SI],$A7)</f>
        <v>1</v>
      </c>
      <c r="E7" s="11">
        <f>SUMIFS(Table3[Result],Table3[Round],E$2,Table3[SI],$A7)</f>
        <v>6</v>
      </c>
      <c r="F7" s="12">
        <f>SUMIFS(Table3[Result],Table3[Round],F$2,Table3[SI],$A7)</f>
        <v>0</v>
      </c>
      <c r="H7" s="34">
        <v>0</v>
      </c>
      <c r="I7" s="1">
        <f>COUNTIFS(Data_Planned!$B:$B, $A7, Data_Planned!$C:$C, I$2)</f>
        <v>0</v>
      </c>
      <c r="J7" s="1">
        <f>COUNTIFS(Data_Planned!$B:$B, $A7, Data_Planned!$C:$C, J$2)</f>
        <v>1</v>
      </c>
      <c r="K7" s="1">
        <f>COUNTIFS(Data_Planned!$B:$B, $A7, Data_Planned!$C:$C, K$2)</f>
        <v>1</v>
      </c>
      <c r="L7" s="35">
        <f>COUNTIFS(Data_Planned!$B:$B, $A7, Data_Planned!$C:$C, L$2)</f>
        <v>0</v>
      </c>
      <c r="N7" s="55">
        <f>SUMIFS(Data_Planned!$D:$D,Data_Planned!$C:$C,#REF!,Data_Planned!$B:$B,$A7)</f>
        <v>0</v>
      </c>
      <c r="O7" s="42">
        <f>SUMIFS(Data_Planned!$D:$D,Data_Planned!$C:$C,O$2,Data_Planned!$B:$B,$A7)</f>
        <v>0</v>
      </c>
      <c r="P7" s="42">
        <f>SUMIFS(Data_Planned!$D:$D,Data_Planned!$C:$C,P$2,Data_Planned!$B:$B,$A7)</f>
        <v>2</v>
      </c>
      <c r="Q7" s="42">
        <f>SUMIFS(Data_Planned!$D:$D,Data_Planned!$C:$C,Q$2,Data_Planned!$B:$B,$A7)</f>
        <v>8</v>
      </c>
      <c r="R7" s="56">
        <f>SUMIFS(Data_Planned!$D:$D,Data_Planned!$C:$C,R$2,Data_Planned!$B:$B,$A7)</f>
        <v>0</v>
      </c>
    </row>
    <row r="8" spans="1:20" ht="14.25" customHeight="1" x14ac:dyDescent="0.2">
      <c r="A8" s="61" t="s">
        <v>177</v>
      </c>
      <c r="B8" s="10">
        <f>SUMIFS(Table3[Result],Table3[Round],B$2,Table3[SI],$A8)</f>
        <v>0</v>
      </c>
      <c r="C8" s="11">
        <f>SUMIFS(Table3[Result],Table3[Round],C$2,Table3[SI],$A8)</f>
        <v>0</v>
      </c>
      <c r="D8" s="11">
        <f>SUMIFS(Table3[Result],Table3[Round],D$2,Table3[SI],$A8)</f>
        <v>0</v>
      </c>
      <c r="E8" s="11">
        <f>SUMIFS(Table3[Result],Table3[Round],E$2,Table3[SI],$A8)</f>
        <v>0</v>
      </c>
      <c r="F8" s="12">
        <f>SUMIFS(Table3[Result],Table3[Round],F$2,Table3[SI],$A8)</f>
        <v>0</v>
      </c>
      <c r="H8" s="34">
        <v>0</v>
      </c>
      <c r="I8" s="1">
        <f>COUNTIFS(Data_Planned!$B:$B, $A8, Data_Planned!$C:$C, I$2)</f>
        <v>0</v>
      </c>
      <c r="J8" s="1">
        <f>COUNTIFS(Data_Planned!$B:$B, $A8, Data_Planned!$C:$C, J$2)</f>
        <v>0</v>
      </c>
      <c r="K8" s="1">
        <f>COUNTIFS(Data_Planned!$B:$B, $A8, Data_Planned!$C:$C, K$2)</f>
        <v>0</v>
      </c>
      <c r="L8" s="35">
        <f>COUNTIFS(Data_Planned!$B:$B, $A8, Data_Planned!$C:$C, L$2)</f>
        <v>0</v>
      </c>
      <c r="N8" s="55">
        <f>SUMIFS(Data_Planned!$D:$D,Data_Planned!$C:$C,#REF!,Data_Planned!$B:$B,$A8)</f>
        <v>0</v>
      </c>
      <c r="O8" s="42">
        <f>SUMIFS(Data_Planned!$D:$D,Data_Planned!$C:$C,O$2,Data_Planned!$B:$B,$A8)</f>
        <v>0</v>
      </c>
      <c r="P8" s="42">
        <f>SUMIFS(Data_Planned!$D:$D,Data_Planned!$C:$C,P$2,Data_Planned!$B:$B,$A8)</f>
        <v>0</v>
      </c>
      <c r="Q8" s="42">
        <f>SUMIFS(Data_Planned!$D:$D,Data_Planned!$C:$C,Q$2,Data_Planned!$B:$B,$A8)</f>
        <v>0</v>
      </c>
      <c r="R8" s="56">
        <f>SUMIFS(Data_Planned!$D:$D,Data_Planned!$C:$C,R$2,Data_Planned!$B:$B,$A8)</f>
        <v>0</v>
      </c>
    </row>
    <row r="9" spans="1:20" ht="14.25" customHeight="1" x14ac:dyDescent="0.2">
      <c r="A9" s="61" t="s">
        <v>179</v>
      </c>
      <c r="B9" s="10">
        <f>SUMIFS(Table3[Result],Table3[Round],B$2,Table3[SI],$A9)</f>
        <v>0</v>
      </c>
      <c r="C9" s="11">
        <f>SUMIFS(Table3[Result],Table3[Round],C$2,Table3[SI],$A9)</f>
        <v>0</v>
      </c>
      <c r="D9" s="11">
        <f>SUMIFS(Table3[Result],Table3[Round],D$2,Table3[SI],$A9)</f>
        <v>2</v>
      </c>
      <c r="E9" s="11">
        <f>SUMIFS(Table3[Result],Table3[Round],E$2,Table3[SI],$A9)</f>
        <v>13</v>
      </c>
      <c r="F9" s="12">
        <f>SUMIFS(Table3[Result],Table3[Round],F$2,Table3[SI],$A9)</f>
        <v>0</v>
      </c>
      <c r="H9" s="34">
        <v>0</v>
      </c>
      <c r="I9" s="1">
        <f>COUNTIFS(Data_Planned!$B:$B, $A9, Data_Planned!$C:$C, I$2)</f>
        <v>1</v>
      </c>
      <c r="J9" s="1">
        <f>COUNTIFS(Data_Planned!$B:$B, $A9, Data_Planned!$C:$C, J$2)</f>
        <v>3</v>
      </c>
      <c r="K9" s="1">
        <f>COUNTIFS(Data_Planned!$B:$B, $A9, Data_Planned!$C:$C, K$2)</f>
        <v>6</v>
      </c>
      <c r="L9" s="35">
        <f>COUNTIFS(Data_Planned!$B:$B, $A9, Data_Planned!$C:$C, L$2)</f>
        <v>4</v>
      </c>
      <c r="N9" s="55">
        <f>SUMIFS(Data_Planned!$D:$D,Data_Planned!$C:$C,#REF!,Data_Planned!$B:$B,$A9)</f>
        <v>0</v>
      </c>
      <c r="O9" s="42">
        <f>SUMIFS(Data_Planned!$D:$D,Data_Planned!$C:$C,O$2,Data_Planned!$B:$B,$A9)</f>
        <v>1</v>
      </c>
      <c r="P9" s="42">
        <f>SUMIFS(Data_Planned!$D:$D,Data_Planned!$C:$C,P$2,Data_Planned!$B:$B,$A9)</f>
        <v>3</v>
      </c>
      <c r="Q9" s="42">
        <f>SUMIFS(Data_Planned!$D:$D,Data_Planned!$C:$C,Q$2,Data_Planned!$B:$B,$A9)</f>
        <v>26</v>
      </c>
      <c r="R9" s="56">
        <f>SUMIFS(Data_Planned!$D:$D,Data_Planned!$C:$C,R$2,Data_Planned!$B:$B,$A9)</f>
        <v>7</v>
      </c>
    </row>
    <row r="10" spans="1:20" ht="14.25" customHeight="1" x14ac:dyDescent="0.2">
      <c r="A10" s="61" t="s">
        <v>181</v>
      </c>
      <c r="B10" s="10">
        <f>SUMIFS(Table3[Result],Table3[Round],B$2,Table3[SI],$A10)</f>
        <v>0</v>
      </c>
      <c r="C10" s="11">
        <f>SUMIFS(Table3[Result],Table3[Round],C$2,Table3[SI],$A10)</f>
        <v>0</v>
      </c>
      <c r="D10" s="11">
        <f>SUMIFS(Table3[Result],Table3[Round],D$2,Table3[SI],$A10)</f>
        <v>0</v>
      </c>
      <c r="E10" s="11">
        <f>SUMIFS(Table3[Result],Table3[Round],E$2,Table3[SI],$A10)</f>
        <v>0</v>
      </c>
      <c r="F10" s="12">
        <f>SUMIFS(Table3[Result],Table3[Round],F$2,Table3[SI],$A10)</f>
        <v>0</v>
      </c>
      <c r="H10" s="34">
        <v>0</v>
      </c>
      <c r="I10" s="1">
        <f>COUNTIFS(Data_Planned!$B:$B, $A10, Data_Planned!$C:$C, I$2)</f>
        <v>0</v>
      </c>
      <c r="J10" s="1">
        <f>COUNTIFS(Data_Planned!$B:$B, $A10, Data_Planned!$C:$C, J$2)</f>
        <v>0</v>
      </c>
      <c r="K10" s="1">
        <f>COUNTIFS(Data_Planned!$B:$B, $A10, Data_Planned!$C:$C, K$2)</f>
        <v>0</v>
      </c>
      <c r="L10" s="35">
        <f>COUNTIFS(Data_Planned!$B:$B, $A10, Data_Planned!$C:$C, L$2)</f>
        <v>0</v>
      </c>
      <c r="N10" s="55">
        <f>SUMIFS(Data_Planned!$D:$D,Data_Planned!$C:$C,#REF!,Data_Planned!$B:$B,$A10)</f>
        <v>0</v>
      </c>
      <c r="O10" s="42">
        <f>SUMIFS(Data_Planned!$D:$D,Data_Planned!$C:$C,O$2,Data_Planned!$B:$B,$A10)</f>
        <v>0</v>
      </c>
      <c r="P10" s="42">
        <f>SUMIFS(Data_Planned!$D:$D,Data_Planned!$C:$C,P$2,Data_Planned!$B:$B,$A10)</f>
        <v>0</v>
      </c>
      <c r="Q10" s="42">
        <f>SUMIFS(Data_Planned!$D:$D,Data_Planned!$C:$C,Q$2,Data_Planned!$B:$B,$A10)</f>
        <v>0</v>
      </c>
      <c r="R10" s="56">
        <f>SUMIFS(Data_Planned!$D:$D,Data_Planned!$C:$C,R$2,Data_Planned!$B:$B,$A10)</f>
        <v>0</v>
      </c>
    </row>
    <row r="11" spans="1:20" ht="14.25" customHeight="1" x14ac:dyDescent="0.2">
      <c r="A11" s="61" t="s">
        <v>183</v>
      </c>
      <c r="B11" s="10">
        <f>SUMIFS(Table3[Result],Table3[Round],B$2,Table3[SI],$A11)</f>
        <v>0</v>
      </c>
      <c r="C11" s="11">
        <f>SUMIFS(Table3[Result],Table3[Round],C$2,Table3[SI],$A11)</f>
        <v>0</v>
      </c>
      <c r="D11" s="11">
        <f>SUMIFS(Table3[Result],Table3[Round],D$2,Table3[SI],$A11)</f>
        <v>0</v>
      </c>
      <c r="E11" s="11">
        <f>SUMIFS(Table3[Result],Table3[Round],E$2,Table3[SI],$A11)</f>
        <v>0</v>
      </c>
      <c r="F11" s="12">
        <f>SUMIFS(Table3[Result],Table3[Round],F$2,Table3[SI],$A11)</f>
        <v>0</v>
      </c>
      <c r="H11" s="34">
        <v>0</v>
      </c>
      <c r="I11" s="1">
        <f>COUNTIFS(Data_Planned!$B:$B, $A11, Data_Planned!$C:$C, I$2)</f>
        <v>0</v>
      </c>
      <c r="J11" s="1">
        <f>COUNTIFS(Data_Planned!$B:$B, $A11, Data_Planned!$C:$C, J$2)</f>
        <v>0</v>
      </c>
      <c r="K11" s="1">
        <f>COUNTIFS(Data_Planned!$B:$B, $A11, Data_Planned!$C:$C, K$2)</f>
        <v>0</v>
      </c>
      <c r="L11" s="35">
        <f>COUNTIFS(Data_Planned!$B:$B, $A11, Data_Planned!$C:$C, L$2)</f>
        <v>0</v>
      </c>
      <c r="N11" s="55">
        <f>SUMIFS(Data_Planned!$D:$D,Data_Planned!$C:$C,#REF!,Data_Planned!$B:$B,$A11)</f>
        <v>0</v>
      </c>
      <c r="O11" s="42">
        <f>SUMIFS(Data_Planned!$D:$D,Data_Planned!$C:$C,O$2,Data_Planned!$B:$B,$A11)</f>
        <v>0</v>
      </c>
      <c r="P11" s="42">
        <f>SUMIFS(Data_Planned!$D:$D,Data_Planned!$C:$C,P$2,Data_Planned!$B:$B,$A11)</f>
        <v>0</v>
      </c>
      <c r="Q11" s="42">
        <f>SUMIFS(Data_Planned!$D:$D,Data_Planned!$C:$C,Q$2,Data_Planned!$B:$B,$A11)</f>
        <v>0</v>
      </c>
      <c r="R11" s="56">
        <f>SUMIFS(Data_Planned!$D:$D,Data_Planned!$C:$C,R$2,Data_Planned!$B:$B,$A11)</f>
        <v>0</v>
      </c>
    </row>
    <row r="12" spans="1:20" ht="14.25" customHeight="1" x14ac:dyDescent="0.2">
      <c r="A12" s="61" t="s">
        <v>185</v>
      </c>
      <c r="B12" s="10">
        <f>SUMIFS(Table3[Result],Table3[Round],B$2,Table3[SI],$A12)</f>
        <v>0</v>
      </c>
      <c r="C12" s="11">
        <f>SUMIFS(Table3[Result],Table3[Round],C$2,Table3[SI],$A12)</f>
        <v>0</v>
      </c>
      <c r="D12" s="11">
        <f>SUMIFS(Table3[Result],Table3[Round],D$2,Table3[SI],$A12)</f>
        <v>0</v>
      </c>
      <c r="E12" s="11">
        <f>SUMIFS(Table3[Result],Table3[Round],E$2,Table3[SI],$A12)</f>
        <v>0</v>
      </c>
      <c r="F12" s="12">
        <f>SUMIFS(Table3[Result],Table3[Round],F$2,Table3[SI],$A12)</f>
        <v>0</v>
      </c>
      <c r="H12" s="34">
        <v>0</v>
      </c>
      <c r="I12" s="1">
        <f>COUNTIFS(Data_Planned!$B:$B, $A12, Data_Planned!$C:$C, I$2)</f>
        <v>0</v>
      </c>
      <c r="J12" s="1">
        <f>COUNTIFS(Data_Planned!$B:$B, $A12, Data_Planned!$C:$C, J$2)</f>
        <v>0</v>
      </c>
      <c r="K12" s="1">
        <f>COUNTIFS(Data_Planned!$B:$B, $A12, Data_Planned!$C:$C, K$2)</f>
        <v>0</v>
      </c>
      <c r="L12" s="35">
        <f>COUNTIFS(Data_Planned!$B:$B, $A12, Data_Planned!$C:$C, L$2)</f>
        <v>0</v>
      </c>
      <c r="N12" s="55">
        <f>SUMIFS(Data_Planned!$D:$D,Data_Planned!$C:$C,#REF!,Data_Planned!$B:$B,$A12)</f>
        <v>0</v>
      </c>
      <c r="O12" s="42">
        <f>SUMIFS(Data_Planned!$D:$D,Data_Planned!$C:$C,O$2,Data_Planned!$B:$B,$A12)</f>
        <v>0</v>
      </c>
      <c r="P12" s="42">
        <f>SUMIFS(Data_Planned!$D:$D,Data_Planned!$C:$C,P$2,Data_Planned!$B:$B,$A12)</f>
        <v>0</v>
      </c>
      <c r="Q12" s="42">
        <f>SUMIFS(Data_Planned!$D:$D,Data_Planned!$C:$C,Q$2,Data_Planned!$B:$B,$A12)</f>
        <v>0</v>
      </c>
      <c r="R12" s="56">
        <f>SUMIFS(Data_Planned!$D:$D,Data_Planned!$C:$C,R$2,Data_Planned!$B:$B,$A12)</f>
        <v>0</v>
      </c>
    </row>
    <row r="13" spans="1:20" ht="14.25" customHeight="1" x14ac:dyDescent="0.2">
      <c r="A13" s="61"/>
      <c r="B13" s="10"/>
      <c r="C13" s="11"/>
      <c r="D13" s="11"/>
      <c r="E13" s="11"/>
      <c r="F13" s="12"/>
      <c r="H13" s="34"/>
      <c r="L13" s="35"/>
      <c r="N13" s="55"/>
      <c r="O13" s="42"/>
      <c r="P13" s="42"/>
      <c r="Q13" s="42"/>
      <c r="R13" s="56"/>
    </row>
    <row r="14" spans="1:20" ht="14.25" customHeight="1" x14ac:dyDescent="0.2">
      <c r="A14" s="61" t="s">
        <v>188</v>
      </c>
      <c r="B14" s="10">
        <f>SUMIFS(Table3[Result],Table3[Round],B$2,Table3[SI],$A14)</f>
        <v>0</v>
      </c>
      <c r="C14" s="11">
        <f>SUMIFS(Table3[Result],Table3[Round],C$2,Table3[SI],$A14)</f>
        <v>5</v>
      </c>
      <c r="D14" s="11">
        <f>SUMIFS(Table3[Result],Table3[Round],D$2,Table3[SI],$A14)</f>
        <v>10</v>
      </c>
      <c r="E14" s="11">
        <f>SUMIFS(Table3[Result],Table3[Round],E$2,Table3[SI],$A14)</f>
        <v>3</v>
      </c>
      <c r="F14" s="12">
        <f>SUMIFS(Table3[Result],Table3[Round],F$2,Table3[SI],$A14)</f>
        <v>0</v>
      </c>
      <c r="H14" s="34">
        <v>0</v>
      </c>
      <c r="I14" s="1">
        <f>COUNTIFS(Data_Planned!$B:$B, $A14, Data_Planned!$C:$C, I$2)</f>
        <v>1</v>
      </c>
      <c r="J14" s="1">
        <f>COUNTIFS(Data_Planned!$B:$B, $A14, Data_Planned!$C:$C, J$2)</f>
        <v>6</v>
      </c>
      <c r="K14" s="1">
        <f>COUNTIFS(Data_Planned!$B:$B, $A14, Data_Planned!$C:$C, K$2)</f>
        <v>6</v>
      </c>
      <c r="L14" s="35">
        <f>COUNTIFS(Data_Planned!$B:$B, $A14, Data_Planned!$C:$C, L$2)</f>
        <v>2</v>
      </c>
      <c r="N14" s="55">
        <f>SUMIFS(Data_Planned!$D:$D,Data_Planned!$C:$C,#REF!,Data_Planned!$B:$B,$A14)</f>
        <v>0</v>
      </c>
      <c r="O14" s="42">
        <f>SUMIFS(Data_Planned!$D:$D,Data_Planned!$C:$C,O$2,Data_Planned!$B:$B,$A14)</f>
        <v>5</v>
      </c>
      <c r="P14" s="42">
        <f>SUMIFS(Data_Planned!$D:$D,Data_Planned!$C:$C,P$2,Data_Planned!$B:$B,$A14)</f>
        <v>15</v>
      </c>
      <c r="Q14" s="42">
        <f>SUMIFS(Data_Planned!$D:$D,Data_Planned!$C:$C,Q$2,Data_Planned!$B:$B,$A14)</f>
        <v>5</v>
      </c>
      <c r="R14" s="56">
        <f>SUMIFS(Data_Planned!$D:$D,Data_Planned!$C:$C,R$2,Data_Planned!$B:$B,$A14)</f>
        <v>5</v>
      </c>
    </row>
    <row r="15" spans="1:20" ht="14.25" customHeight="1" x14ac:dyDescent="0.2">
      <c r="A15" s="61" t="s">
        <v>190</v>
      </c>
      <c r="B15" s="10">
        <f>SUMIFS(Table3[Result],Table3[Round],B$2,Table3[SI],$A15)</f>
        <v>0</v>
      </c>
      <c r="C15" s="11">
        <f>SUMIFS(Table3[Result],Table3[Round],C$2,Table3[SI],$A15)</f>
        <v>0</v>
      </c>
      <c r="D15" s="11">
        <f>SUMIFS(Table3[Result],Table3[Round],D$2,Table3[SI],$A15)</f>
        <v>1</v>
      </c>
      <c r="E15" s="11">
        <f>SUMIFS(Table3[Result],Table3[Round],E$2,Table3[SI],$A15)</f>
        <v>1</v>
      </c>
      <c r="F15" s="12">
        <f>SUMIFS(Table3[Result],Table3[Round],F$2,Table3[SI],$A15)</f>
        <v>0</v>
      </c>
      <c r="H15" s="34">
        <v>0</v>
      </c>
      <c r="I15" s="1">
        <f>COUNTIFS(Data_Planned!$B:$B, $A15, Data_Planned!$C:$C, I$2)</f>
        <v>0</v>
      </c>
      <c r="J15" s="1">
        <f>COUNTIFS(Data_Planned!$B:$B, $A15, Data_Planned!$C:$C, J$2)</f>
        <v>5</v>
      </c>
      <c r="K15" s="1">
        <f>COUNTIFS(Data_Planned!$B:$B, $A15, Data_Planned!$C:$C, K$2)</f>
        <v>4</v>
      </c>
      <c r="L15" s="35">
        <f>COUNTIFS(Data_Planned!$B:$B, $A15, Data_Planned!$C:$C, L$2)</f>
        <v>5</v>
      </c>
      <c r="N15" s="55">
        <f>SUMIFS(Data_Planned!$D:$D,Data_Planned!$C:$C,#REF!,Data_Planned!$B:$B,$A15)</f>
        <v>0</v>
      </c>
      <c r="O15" s="42">
        <f>SUMIFS(Data_Planned!$D:$D,Data_Planned!$C:$C,O$2,Data_Planned!$B:$B,$A15)</f>
        <v>0</v>
      </c>
      <c r="P15" s="42">
        <f>SUMIFS(Data_Planned!$D:$D,Data_Planned!$C:$C,P$2,Data_Planned!$B:$B,$A15)</f>
        <v>9</v>
      </c>
      <c r="Q15" s="42">
        <f>SUMIFS(Data_Planned!$D:$D,Data_Planned!$C:$C,Q$2,Data_Planned!$B:$B,$A15)</f>
        <v>7</v>
      </c>
      <c r="R15" s="56">
        <f>SUMIFS(Data_Planned!$D:$D,Data_Planned!$C:$C,R$2,Data_Planned!$B:$B,$A15)</f>
        <v>8</v>
      </c>
    </row>
    <row r="16" spans="1:20" ht="14.25" customHeight="1" x14ac:dyDescent="0.2">
      <c r="A16" s="61" t="s">
        <v>192</v>
      </c>
      <c r="B16" s="10">
        <f>SUMIFS(Table3[Result],Table3[Round],B$2,Table3[SI],$A16)</f>
        <v>0</v>
      </c>
      <c r="C16" s="11">
        <f>SUMIFS(Table3[Result],Table3[Round],C$2,Table3[SI],$A16)</f>
        <v>0</v>
      </c>
      <c r="D16" s="11">
        <f>SUMIFS(Table3[Result],Table3[Round],D$2,Table3[SI],$A16)</f>
        <v>10</v>
      </c>
      <c r="E16" s="11">
        <f>SUMIFS(Table3[Result],Table3[Round],E$2,Table3[SI],$A16)</f>
        <v>0</v>
      </c>
      <c r="F16" s="12">
        <f>SUMIFS(Table3[Result],Table3[Round],F$2,Table3[SI],$A16)</f>
        <v>0</v>
      </c>
      <c r="H16" s="34">
        <v>0</v>
      </c>
      <c r="I16" s="1">
        <f>COUNTIFS(Data_Planned!$B:$B, $A16, Data_Planned!$C:$C, I$2)</f>
        <v>0</v>
      </c>
      <c r="J16" s="1">
        <f>COUNTIFS(Data_Planned!$B:$B, $A16, Data_Planned!$C:$C, J$2)</f>
        <v>1</v>
      </c>
      <c r="K16" s="1">
        <f>COUNTIFS(Data_Planned!$B:$B, $A16, Data_Planned!$C:$C, K$2)</f>
        <v>1</v>
      </c>
      <c r="L16" s="35">
        <f>COUNTIFS(Data_Planned!$B:$B, $A16, Data_Planned!$C:$C, L$2)</f>
        <v>0</v>
      </c>
      <c r="N16" s="55">
        <f>SUMIFS(Data_Planned!$D:$D,Data_Planned!$C:$C,#REF!,Data_Planned!$B:$B,$A16)</f>
        <v>0</v>
      </c>
      <c r="O16" s="42">
        <f>SUMIFS(Data_Planned!$D:$D,Data_Planned!$C:$C,O$2,Data_Planned!$B:$B,$A16)</f>
        <v>0</v>
      </c>
      <c r="P16" s="42">
        <f>SUMIFS(Data_Planned!$D:$D,Data_Planned!$C:$C,P$2,Data_Planned!$B:$B,$A16)</f>
        <v>13</v>
      </c>
      <c r="Q16" s="42">
        <f>SUMIFS(Data_Planned!$D:$D,Data_Planned!$C:$C,Q$2,Data_Planned!$B:$B,$A16)</f>
        <v>0</v>
      </c>
      <c r="R16" s="56">
        <f>SUMIFS(Data_Planned!$D:$D,Data_Planned!$C:$C,R$2,Data_Planned!$B:$B,$A16)</f>
        <v>0</v>
      </c>
    </row>
    <row r="17" spans="1:18" ht="14.25" customHeight="1" x14ac:dyDescent="0.2">
      <c r="A17" s="61" t="s">
        <v>195</v>
      </c>
      <c r="B17" s="10">
        <f>SUMIFS(Table3[Result],Table3[Round],B$2,Table3[SI],$A17)</f>
        <v>0</v>
      </c>
      <c r="C17" s="11">
        <f>SUMIFS(Table3[Result],Table3[Round],C$2,Table3[SI],$A17)</f>
        <v>0</v>
      </c>
      <c r="D17" s="11">
        <f>SUMIFS(Table3[Result],Table3[Round],D$2,Table3[SI],$A17)</f>
        <v>0</v>
      </c>
      <c r="E17" s="11">
        <f>SUMIFS(Table3[Result],Table3[Round],E$2,Table3[SI],$A17)</f>
        <v>0</v>
      </c>
      <c r="F17" s="12">
        <f>SUMIFS(Table3[Result],Table3[Round],F$2,Table3[SI],$A17)</f>
        <v>0</v>
      </c>
      <c r="H17" s="34">
        <v>0</v>
      </c>
      <c r="I17" s="1">
        <f>COUNTIFS(Data_Planned!$B:$B, $A17, Data_Planned!$C:$C, I$2)</f>
        <v>0</v>
      </c>
      <c r="J17" s="1">
        <f>COUNTIFS(Data_Planned!$B:$B, $A17, Data_Planned!$C:$C, J$2)</f>
        <v>1</v>
      </c>
      <c r="K17" s="1">
        <f>COUNTIFS(Data_Planned!$B:$B, $A17, Data_Planned!$C:$C, K$2)</f>
        <v>1</v>
      </c>
      <c r="L17" s="35">
        <f>COUNTIFS(Data_Planned!$B:$B, $A17, Data_Planned!$C:$C, L$2)</f>
        <v>0</v>
      </c>
      <c r="N17" s="55">
        <f>SUMIFS(Data_Planned!$D:$D,Data_Planned!$C:$C,#REF!,Data_Planned!$B:$B,$A17)</f>
        <v>0</v>
      </c>
      <c r="O17" s="42">
        <f>SUMIFS(Data_Planned!$D:$D,Data_Planned!$C:$C,O$2,Data_Planned!$B:$B,$A17)</f>
        <v>0</v>
      </c>
      <c r="P17" s="42">
        <f>SUMIFS(Data_Planned!$D:$D,Data_Planned!$C:$C,P$2,Data_Planned!$B:$B,$A17)</f>
        <v>2</v>
      </c>
      <c r="Q17" s="42">
        <f>SUMIFS(Data_Planned!$D:$D,Data_Planned!$C:$C,Q$2,Data_Planned!$B:$B,$A17)</f>
        <v>1</v>
      </c>
      <c r="R17" s="56">
        <f>SUMIFS(Data_Planned!$D:$D,Data_Planned!$C:$C,R$2,Data_Planned!$B:$B,$A17)</f>
        <v>0</v>
      </c>
    </row>
    <row r="18" spans="1:18" ht="14.25" customHeight="1" x14ac:dyDescent="0.2">
      <c r="A18" s="61" t="s">
        <v>197</v>
      </c>
      <c r="B18" s="10">
        <f>SUMIFS(Table3[Result],Table3[Round],B$2,Table3[SI],$A18)</f>
        <v>0</v>
      </c>
      <c r="C18" s="11">
        <f>SUMIFS(Table3[Result],Table3[Round],C$2,Table3[SI],$A18)</f>
        <v>0</v>
      </c>
      <c r="D18" s="11">
        <f>SUMIFS(Table3[Result],Table3[Round],D$2,Table3[SI],$A18)</f>
        <v>6</v>
      </c>
      <c r="E18" s="11">
        <f>SUMIFS(Table3[Result],Table3[Round],E$2,Table3[SI],$A18)</f>
        <v>47</v>
      </c>
      <c r="F18" s="12">
        <f>SUMIFS(Table3[Result],Table3[Round],F$2,Table3[SI],$A18)</f>
        <v>0</v>
      </c>
      <c r="H18" s="34">
        <v>0</v>
      </c>
      <c r="I18" s="1">
        <f>COUNTIFS(Data_Planned!$B:$B, $A18, Data_Planned!$C:$C, I$2)</f>
        <v>0</v>
      </c>
      <c r="J18" s="1">
        <f>COUNTIFS(Data_Planned!$B:$B, $A18, Data_Planned!$C:$C, J$2)</f>
        <v>1</v>
      </c>
      <c r="K18" s="1">
        <f>COUNTIFS(Data_Planned!$B:$B, $A18, Data_Planned!$C:$C, K$2)</f>
        <v>4</v>
      </c>
      <c r="L18" s="35">
        <f>COUNTIFS(Data_Planned!$B:$B, $A18, Data_Planned!$C:$C, L$2)</f>
        <v>2</v>
      </c>
      <c r="N18" s="55">
        <f>SUMIFS(Data_Planned!$D:$D,Data_Planned!$C:$C,#REF!,Data_Planned!$B:$B,$A18)</f>
        <v>0</v>
      </c>
      <c r="O18" s="42">
        <f>SUMIFS(Data_Planned!$D:$D,Data_Planned!$C:$C,O$2,Data_Planned!$B:$B,$A18)</f>
        <v>0</v>
      </c>
      <c r="P18" s="42">
        <f>SUMIFS(Data_Planned!$D:$D,Data_Planned!$C:$C,P$2,Data_Planned!$B:$B,$A18)</f>
        <v>8</v>
      </c>
      <c r="Q18" s="42">
        <f>SUMIFS(Data_Planned!$D:$D,Data_Planned!$C:$C,Q$2,Data_Planned!$B:$B,$A18)</f>
        <v>104</v>
      </c>
      <c r="R18" s="56">
        <f>SUMIFS(Data_Planned!$D:$D,Data_Planned!$C:$C,R$2,Data_Planned!$B:$B,$A18)</f>
        <v>110</v>
      </c>
    </row>
    <row r="19" spans="1:18" ht="14.25" customHeight="1" x14ac:dyDescent="0.2">
      <c r="A19" s="61" t="s">
        <v>199</v>
      </c>
      <c r="B19" s="10">
        <f>SUMIFS(Table3[Result],Table3[Round],B$2,Table3[SI],$A19)</f>
        <v>0</v>
      </c>
      <c r="C19" s="11">
        <f>SUMIFS(Table3[Result],Table3[Round],C$2,Table3[SI],$A19)</f>
        <v>8</v>
      </c>
      <c r="D19" s="11">
        <f>SUMIFS(Table3[Result],Table3[Round],D$2,Table3[SI],$A19)</f>
        <v>0</v>
      </c>
      <c r="E19" s="11">
        <f>SUMIFS(Table3[Result],Table3[Round],E$2,Table3[SI],$A19)</f>
        <v>0</v>
      </c>
      <c r="F19" s="12">
        <f>SUMIFS(Table3[Result],Table3[Round],F$2,Table3[SI],$A19)</f>
        <v>0</v>
      </c>
      <c r="H19" s="34">
        <v>0</v>
      </c>
      <c r="I19" s="1">
        <f>COUNTIFS(Data_Planned!$B:$B, $A19, Data_Planned!$C:$C, I$2)</f>
        <v>1</v>
      </c>
      <c r="J19" s="1">
        <f>COUNTIFS(Data_Planned!$B:$B, $A19, Data_Planned!$C:$C, J$2)</f>
        <v>0</v>
      </c>
      <c r="K19" s="1">
        <f>COUNTIFS(Data_Planned!$B:$B, $A19, Data_Planned!$C:$C, K$2)</f>
        <v>0</v>
      </c>
      <c r="L19" s="35">
        <f>COUNTIFS(Data_Planned!$B:$B, $A19, Data_Planned!$C:$C, L$2)</f>
        <v>0</v>
      </c>
      <c r="N19" s="55">
        <f>SUMIFS(Data_Planned!$D:$D,Data_Planned!$C:$C,#REF!,Data_Planned!$B:$B,$A19)</f>
        <v>0</v>
      </c>
      <c r="O19" s="42">
        <f>SUMIFS(Data_Planned!$D:$D,Data_Planned!$C:$C,O$2,Data_Planned!$B:$B,$A19)</f>
        <v>8</v>
      </c>
      <c r="P19" s="42">
        <f>SUMIFS(Data_Planned!$D:$D,Data_Planned!$C:$C,P$2,Data_Planned!$B:$B,$A19)</f>
        <v>0</v>
      </c>
      <c r="Q19" s="42">
        <f>SUMIFS(Data_Planned!$D:$D,Data_Planned!$C:$C,Q$2,Data_Planned!$B:$B,$A19)</f>
        <v>0</v>
      </c>
      <c r="R19" s="56">
        <f>SUMIFS(Data_Planned!$D:$D,Data_Planned!$C:$C,R$2,Data_Planned!$B:$B,$A19)</f>
        <v>0</v>
      </c>
    </row>
    <row r="20" spans="1:18" ht="14.25" customHeight="1" x14ac:dyDescent="0.2">
      <c r="A20" s="61" t="s">
        <v>201</v>
      </c>
      <c r="B20" s="10">
        <f>SUMIFS(Table3[Result],Table3[Round],B$2,Table3[SI],$A20)</f>
        <v>0</v>
      </c>
      <c r="C20" s="11">
        <f>SUMIFS(Table3[Result],Table3[Round],C$2,Table3[SI],$A20)</f>
        <v>0</v>
      </c>
      <c r="D20" s="11">
        <f>SUMIFS(Table3[Result],Table3[Round],D$2,Table3[SI],$A20)</f>
        <v>0</v>
      </c>
      <c r="E20" s="11">
        <f>SUMIFS(Table3[Result],Table3[Round],E$2,Table3[SI],$A20)</f>
        <v>0</v>
      </c>
      <c r="F20" s="12">
        <f>SUMIFS(Table3[Result],Table3[Round],F$2,Table3[SI],$A20)</f>
        <v>0</v>
      </c>
      <c r="H20" s="34">
        <v>0</v>
      </c>
      <c r="I20" s="1">
        <f>COUNTIFS(Data_Planned!$B:$B, $A20, Data_Planned!$C:$C, I$2)</f>
        <v>0</v>
      </c>
      <c r="J20" s="1">
        <f>COUNTIFS(Data_Planned!$B:$B, $A20, Data_Planned!$C:$C, J$2)</f>
        <v>0</v>
      </c>
      <c r="K20" s="1">
        <f>COUNTIFS(Data_Planned!$B:$B, $A20, Data_Planned!$C:$C, K$2)</f>
        <v>0</v>
      </c>
      <c r="L20" s="35">
        <f>COUNTIFS(Data_Planned!$B:$B, $A20, Data_Planned!$C:$C, L$2)</f>
        <v>0</v>
      </c>
      <c r="N20" s="55">
        <f>SUMIFS(Data_Planned!$D:$D,Data_Planned!$C:$C,#REF!,Data_Planned!$B:$B,$A20)</f>
        <v>0</v>
      </c>
      <c r="O20" s="42">
        <f>SUMIFS(Data_Planned!$D:$D,Data_Planned!$C:$C,O$2,Data_Planned!$B:$B,$A20)</f>
        <v>0</v>
      </c>
      <c r="P20" s="42">
        <f>SUMIFS(Data_Planned!$D:$D,Data_Planned!$C:$C,P$2,Data_Planned!$B:$B,$A20)</f>
        <v>0</v>
      </c>
      <c r="Q20" s="42">
        <f>SUMIFS(Data_Planned!$D:$D,Data_Planned!$C:$C,Q$2,Data_Planned!$B:$B,$A20)</f>
        <v>0</v>
      </c>
      <c r="R20" s="56">
        <f>SUMIFS(Data_Planned!$D:$D,Data_Planned!$C:$C,R$2,Data_Planned!$B:$B,$A20)</f>
        <v>0</v>
      </c>
    </row>
    <row r="21" spans="1:18" ht="14.25" customHeight="1" x14ac:dyDescent="0.2">
      <c r="A21" s="61" t="s">
        <v>203</v>
      </c>
      <c r="B21" s="10">
        <f>SUMIFS(Table3[Result],Table3[Round],B$2,Table3[SI],$A21)</f>
        <v>0</v>
      </c>
      <c r="C21" s="11">
        <f>SUMIFS(Table3[Result],Table3[Round],C$2,Table3[SI],$A21)</f>
        <v>0</v>
      </c>
      <c r="D21" s="11">
        <f>SUMIFS(Table3[Result],Table3[Round],D$2,Table3[SI],$A21)</f>
        <v>0</v>
      </c>
      <c r="E21" s="11">
        <f>SUMIFS(Table3[Result],Table3[Round],E$2,Table3[SI],$A21)</f>
        <v>0</v>
      </c>
      <c r="F21" s="12">
        <f>SUMIFS(Table3[Result],Table3[Round],F$2,Table3[SI],$A21)</f>
        <v>0</v>
      </c>
      <c r="H21" s="34">
        <v>0</v>
      </c>
      <c r="I21" s="1">
        <f>COUNTIFS(Data_Planned!$B:$B, $A21, Data_Planned!$C:$C, I$2)</f>
        <v>0</v>
      </c>
      <c r="J21" s="1">
        <f>COUNTIFS(Data_Planned!$B:$B, $A21, Data_Planned!$C:$C, J$2)</f>
        <v>0</v>
      </c>
      <c r="K21" s="1">
        <f>COUNTIFS(Data_Planned!$B:$B, $A21, Data_Planned!$C:$C, K$2)</f>
        <v>0</v>
      </c>
      <c r="L21" s="35">
        <f>COUNTIFS(Data_Planned!$B:$B, $A21, Data_Planned!$C:$C, L$2)</f>
        <v>0</v>
      </c>
      <c r="N21" s="55">
        <f>SUMIFS(Data_Planned!$D:$D,Data_Planned!$C:$C,#REF!,Data_Planned!$B:$B,$A21)</f>
        <v>0</v>
      </c>
      <c r="O21" s="42">
        <f>SUMIFS(Data_Planned!$D:$D,Data_Planned!$C:$C,O$2,Data_Planned!$B:$B,$A21)</f>
        <v>0</v>
      </c>
      <c r="P21" s="42">
        <f>SUMIFS(Data_Planned!$D:$D,Data_Planned!$C:$C,P$2,Data_Planned!$B:$B,$A21)</f>
        <v>0</v>
      </c>
      <c r="Q21" s="42">
        <f>SUMIFS(Data_Planned!$D:$D,Data_Planned!$C:$C,Q$2,Data_Planned!$B:$B,$A21)</f>
        <v>0</v>
      </c>
      <c r="R21" s="56">
        <f>SUMIFS(Data_Planned!$D:$D,Data_Planned!$C:$C,R$2,Data_Planned!$B:$B,$A21)</f>
        <v>0</v>
      </c>
    </row>
    <row r="22" spans="1:18" ht="14.25" customHeight="1" x14ac:dyDescent="0.2">
      <c r="A22" s="61" t="s">
        <v>205</v>
      </c>
      <c r="B22" s="10">
        <f>SUMIFS(Table3[Result],Table3[Round],B$2,Table3[SI],$A22)</f>
        <v>0</v>
      </c>
      <c r="C22" s="11">
        <f>SUMIFS(Table3[Result],Table3[Round],C$2,Table3[SI],$A22)</f>
        <v>0</v>
      </c>
      <c r="D22" s="11">
        <f>SUMIFS(Table3[Result],Table3[Round],D$2,Table3[SI],$A22)</f>
        <v>0</v>
      </c>
      <c r="E22" s="11">
        <f>SUMIFS(Table3[Result],Table3[Round],E$2,Table3[SI],$A22)</f>
        <v>0</v>
      </c>
      <c r="F22" s="12">
        <f>SUMIFS(Table3[Result],Table3[Round],F$2,Table3[SI],$A22)</f>
        <v>0</v>
      </c>
      <c r="H22" s="34">
        <v>0</v>
      </c>
      <c r="I22" s="1">
        <f>COUNTIFS(Data_Planned!$B:$B, $A22, Data_Planned!$C:$C, I$2)</f>
        <v>0</v>
      </c>
      <c r="J22" s="1">
        <f>COUNTIFS(Data_Planned!$B:$B, $A22, Data_Planned!$C:$C, J$2)</f>
        <v>0</v>
      </c>
      <c r="K22" s="1">
        <f>COUNTIFS(Data_Planned!$B:$B, $A22, Data_Planned!$C:$C, K$2)</f>
        <v>0</v>
      </c>
      <c r="L22" s="35">
        <f>COUNTIFS(Data_Planned!$B:$B, $A22, Data_Planned!$C:$C, L$2)</f>
        <v>0</v>
      </c>
      <c r="N22" s="55">
        <f>SUMIFS(Data_Planned!$D:$D,Data_Planned!$C:$C,#REF!,Data_Planned!$B:$B,$A22)</f>
        <v>0</v>
      </c>
      <c r="O22" s="42">
        <f>SUMIFS(Data_Planned!$D:$D,Data_Planned!$C:$C,O$2,Data_Planned!$B:$B,$A22)</f>
        <v>0</v>
      </c>
      <c r="P22" s="42">
        <f>SUMIFS(Data_Planned!$D:$D,Data_Planned!$C:$C,P$2,Data_Planned!$B:$B,$A22)</f>
        <v>0</v>
      </c>
      <c r="Q22" s="42">
        <f>SUMIFS(Data_Planned!$D:$D,Data_Planned!$C:$C,Q$2,Data_Planned!$B:$B,$A22)</f>
        <v>0</v>
      </c>
      <c r="R22" s="56">
        <f>SUMIFS(Data_Planned!$D:$D,Data_Planned!$C:$C,R$2,Data_Planned!$B:$B,$A22)</f>
        <v>0</v>
      </c>
    </row>
    <row r="23" spans="1:18" ht="14.25" customHeight="1" x14ac:dyDescent="0.2">
      <c r="A23" s="61" t="s">
        <v>207</v>
      </c>
      <c r="B23" s="10">
        <f>SUMIFS(Table3[Result],Table3[Round],B$2,Table3[SI],$A23)</f>
        <v>0</v>
      </c>
      <c r="C23" s="11">
        <f>SUMIFS(Table3[Result],Table3[Round],C$2,Table3[SI],$A23)</f>
        <v>0</v>
      </c>
      <c r="D23" s="11">
        <f>SUMIFS(Table3[Result],Table3[Round],D$2,Table3[SI],$A23)</f>
        <v>5</v>
      </c>
      <c r="E23" s="11">
        <f>SUMIFS(Table3[Result],Table3[Round],E$2,Table3[SI],$A23)</f>
        <v>0</v>
      </c>
      <c r="F23" s="12">
        <f>SUMIFS(Table3[Result],Table3[Round],F$2,Table3[SI],$A23)</f>
        <v>0</v>
      </c>
      <c r="H23" s="34">
        <v>0</v>
      </c>
      <c r="I23" s="1">
        <f>COUNTIFS(Data_Planned!$B:$B, $A23, Data_Planned!$C:$C, I$2)</f>
        <v>0</v>
      </c>
      <c r="J23" s="1">
        <f>COUNTIFS(Data_Planned!$B:$B, $A23, Data_Planned!$C:$C, J$2)</f>
        <v>1</v>
      </c>
      <c r="K23" s="1">
        <f>COUNTIFS(Data_Planned!$B:$B, $A23, Data_Planned!$C:$C, K$2)</f>
        <v>0</v>
      </c>
      <c r="L23" s="35">
        <f>COUNTIFS(Data_Planned!$B:$B, $A23, Data_Planned!$C:$C, L$2)</f>
        <v>0</v>
      </c>
      <c r="N23" s="55">
        <f>SUMIFS(Data_Planned!$D:$D,Data_Planned!$C:$C,#REF!,Data_Planned!$B:$B,$A23)</f>
        <v>0</v>
      </c>
      <c r="O23" s="42">
        <f>SUMIFS(Data_Planned!$D:$D,Data_Planned!$C:$C,O$2,Data_Planned!$B:$B,$A23)</f>
        <v>0</v>
      </c>
      <c r="P23" s="42">
        <f>SUMIFS(Data_Planned!$D:$D,Data_Planned!$C:$C,P$2,Data_Planned!$B:$B,$A23)</f>
        <v>20</v>
      </c>
      <c r="Q23" s="42">
        <f>SUMIFS(Data_Planned!$D:$D,Data_Planned!$C:$C,Q$2,Data_Planned!$B:$B,$A23)</f>
        <v>0</v>
      </c>
      <c r="R23" s="56">
        <f>SUMIFS(Data_Planned!$D:$D,Data_Planned!$C:$C,R$2,Data_Planned!$B:$B,$A23)</f>
        <v>0</v>
      </c>
    </row>
    <row r="24" spans="1:18" ht="14.25" customHeight="1" x14ac:dyDescent="0.2">
      <c r="A24" s="61" t="s">
        <v>210</v>
      </c>
      <c r="B24" s="10">
        <f>SUMIFS(Table3[Result],Table3[Round],B$2,Table3[SI],$A24)</f>
        <v>0</v>
      </c>
      <c r="C24" s="11">
        <f>SUMIFS(Table3[Result],Table3[Round],C$2,Table3[SI],$A24)</f>
        <v>0</v>
      </c>
      <c r="D24" s="11">
        <f>SUMIFS(Table3[Result],Table3[Round],D$2,Table3[SI],$A24)</f>
        <v>3</v>
      </c>
      <c r="E24" s="11">
        <f>SUMIFS(Table3[Result],Table3[Round],E$2,Table3[SI],$A24)</f>
        <v>0</v>
      </c>
      <c r="F24" s="12">
        <f>SUMIFS(Table3[Result],Table3[Round],F$2,Table3[SI],$A24)</f>
        <v>0</v>
      </c>
      <c r="H24" s="34">
        <v>0</v>
      </c>
      <c r="I24" s="1">
        <f>COUNTIFS(Data_Planned!$B:$B, $A24, Data_Planned!$C:$C, I$2)</f>
        <v>0</v>
      </c>
      <c r="J24" s="1">
        <f>COUNTIFS(Data_Planned!$B:$B, $A24, Data_Planned!$C:$C, J$2)</f>
        <v>1</v>
      </c>
      <c r="K24" s="1">
        <f>COUNTIFS(Data_Planned!$B:$B, $A24, Data_Planned!$C:$C, K$2)</f>
        <v>0</v>
      </c>
      <c r="L24" s="35">
        <f>COUNTIFS(Data_Planned!$B:$B, $A24, Data_Planned!$C:$C, L$2)</f>
        <v>4</v>
      </c>
      <c r="N24" s="55">
        <f>SUMIFS(Data_Planned!$D:$D,Data_Planned!$C:$C,#REF!,Data_Planned!$B:$B,$A24)</f>
        <v>0</v>
      </c>
      <c r="O24" s="42">
        <f>SUMIFS(Data_Planned!$D:$D,Data_Planned!$C:$C,O$2,Data_Planned!$B:$B,$A24)</f>
        <v>0</v>
      </c>
      <c r="P24" s="42">
        <f>SUMIFS(Data_Planned!$D:$D,Data_Planned!$C:$C,P$2,Data_Planned!$B:$B,$A24)</f>
        <v>3</v>
      </c>
      <c r="Q24" s="42">
        <f>SUMIFS(Data_Planned!$D:$D,Data_Planned!$C:$C,Q$2,Data_Planned!$B:$B,$A24)</f>
        <v>0</v>
      </c>
      <c r="R24" s="56">
        <f>SUMIFS(Data_Planned!$D:$D,Data_Planned!$C:$C,R$2,Data_Planned!$B:$B,$A24)</f>
        <v>68600</v>
      </c>
    </row>
    <row r="25" spans="1:18" ht="14.25" customHeight="1" x14ac:dyDescent="0.2">
      <c r="A25" s="61" t="s">
        <v>212</v>
      </c>
      <c r="B25" s="10">
        <f>SUMIFS(Table3[Result],Table3[Round],B$2,Table3[SI],$A25)</f>
        <v>0</v>
      </c>
      <c r="C25" s="11">
        <f>SUMIFS(Table3[Result],Table3[Round],C$2,Table3[SI],$A25)</f>
        <v>0</v>
      </c>
      <c r="D25" s="11">
        <f>SUMIFS(Table3[Result],Table3[Round],D$2,Table3[SI],$A25)</f>
        <v>0</v>
      </c>
      <c r="E25" s="11">
        <f>SUMIFS(Table3[Result],Table3[Round],E$2,Table3[SI],$A25)</f>
        <v>0</v>
      </c>
      <c r="F25" s="12">
        <f>SUMIFS(Table3[Result],Table3[Round],F$2,Table3[SI],$A25)</f>
        <v>0</v>
      </c>
      <c r="H25" s="34">
        <v>0</v>
      </c>
      <c r="I25" s="1">
        <f>COUNTIFS(Data_Planned!$B:$B, $A25, Data_Planned!$C:$C, I$2)</f>
        <v>0</v>
      </c>
      <c r="J25" s="1">
        <f>COUNTIFS(Data_Planned!$B:$B, $A25, Data_Planned!$C:$C, J$2)</f>
        <v>1</v>
      </c>
      <c r="K25" s="1">
        <f>COUNTIFS(Data_Planned!$B:$B, $A25, Data_Planned!$C:$C, K$2)</f>
        <v>0</v>
      </c>
      <c r="L25" s="35">
        <f>COUNTIFS(Data_Planned!$B:$B, $A25, Data_Planned!$C:$C, L$2)</f>
        <v>0</v>
      </c>
      <c r="N25" s="55">
        <f>SUMIFS(Data_Planned!$D:$D,Data_Planned!$C:$C,#REF!,Data_Planned!$B:$B,$A25)</f>
        <v>0</v>
      </c>
      <c r="O25" s="42">
        <f>SUMIFS(Data_Planned!$D:$D,Data_Planned!$C:$C,O$2,Data_Planned!$B:$B,$A25)</f>
        <v>0</v>
      </c>
      <c r="P25" s="42">
        <f>SUMIFS(Data_Planned!$D:$D,Data_Planned!$C:$C,P$2,Data_Planned!$B:$B,$A25)</f>
        <v>3</v>
      </c>
      <c r="Q25" s="42">
        <f>SUMIFS(Data_Planned!$D:$D,Data_Planned!$C:$C,Q$2,Data_Planned!$B:$B,$A25)</f>
        <v>0</v>
      </c>
      <c r="R25" s="56">
        <f>SUMIFS(Data_Planned!$D:$D,Data_Planned!$C:$C,R$2,Data_Planned!$B:$B,$A25)</f>
        <v>0</v>
      </c>
    </row>
    <row r="26" spans="1:18" ht="14.25" customHeight="1" x14ac:dyDescent="0.2">
      <c r="A26" s="61"/>
      <c r="B26" s="10"/>
      <c r="C26" s="11"/>
      <c r="D26" s="11"/>
      <c r="E26" s="11"/>
      <c r="F26" s="12"/>
      <c r="H26" s="34"/>
      <c r="L26" s="35"/>
      <c r="N26" s="55"/>
      <c r="O26" s="42"/>
      <c r="P26" s="42"/>
      <c r="Q26" s="42"/>
      <c r="R26" s="56"/>
    </row>
    <row r="27" spans="1:18" ht="14.25" customHeight="1" x14ac:dyDescent="0.2">
      <c r="A27" s="61" t="s">
        <v>215</v>
      </c>
      <c r="B27" s="10">
        <f>SUMIFS(Table3[Result],Table3[Round],B$2,Table3[SI],$A27)</f>
        <v>0</v>
      </c>
      <c r="C27" s="11">
        <f>SUMIFS(Table3[Result],Table3[Round],C$2,Table3[SI],$A27)</f>
        <v>4</v>
      </c>
      <c r="D27" s="11">
        <f>SUMIFS(Table3[Result],Table3[Round],D$2,Table3[SI],$A27)</f>
        <v>37</v>
      </c>
      <c r="E27" s="11">
        <f>SUMIFS(Table3[Result],Table3[Round],E$2,Table3[SI],$A27)</f>
        <v>25</v>
      </c>
      <c r="F27" s="12">
        <f>SUMIFS(Table3[Result],Table3[Round],F$2,Table3[SI],$A27)</f>
        <v>0</v>
      </c>
      <c r="H27" s="34">
        <v>0</v>
      </c>
      <c r="I27" s="1">
        <f>COUNTIFS(Data_Planned!$B:$B, $A27, Data_Planned!$C:$C, I$2)</f>
        <v>2</v>
      </c>
      <c r="J27" s="1">
        <f>COUNTIFS(Data_Planned!$B:$B, $A27, Data_Planned!$C:$C, J$2)</f>
        <v>10</v>
      </c>
      <c r="K27" s="1">
        <f>COUNTIFS(Data_Planned!$B:$B, $A27, Data_Planned!$C:$C, K$2)</f>
        <v>4</v>
      </c>
      <c r="L27" s="35">
        <f>COUNTIFS(Data_Planned!$B:$B, $A27, Data_Planned!$C:$C, L$2)</f>
        <v>1</v>
      </c>
      <c r="N27" s="55">
        <f>SUMIFS(Data_Planned!$D:$D,Data_Planned!$C:$C,#REF!,Data_Planned!$B:$B,$A27)</f>
        <v>0</v>
      </c>
      <c r="O27" s="42">
        <f>SUMIFS(Data_Planned!$D:$D,Data_Planned!$C:$C,O$2,Data_Planned!$B:$B,$A27)</f>
        <v>4</v>
      </c>
      <c r="P27" s="42">
        <f>SUMIFS(Data_Planned!$D:$D,Data_Planned!$C:$C,P$2,Data_Planned!$B:$B,$A27)</f>
        <v>38</v>
      </c>
      <c r="Q27" s="42">
        <f>SUMIFS(Data_Planned!$D:$D,Data_Planned!$C:$C,Q$2,Data_Planned!$B:$B,$A27)</f>
        <v>12</v>
      </c>
      <c r="R27" s="56">
        <f>SUMIFS(Data_Planned!$D:$D,Data_Planned!$C:$C,R$2,Data_Planned!$B:$B,$A27)</f>
        <v>2</v>
      </c>
    </row>
    <row r="28" spans="1:18" ht="14.25" customHeight="1" x14ac:dyDescent="0.2">
      <c r="A28" s="61" t="s">
        <v>217</v>
      </c>
      <c r="B28" s="10">
        <f>SUMIFS(Table3[Result],Table3[Round],B$2,Table3[SI],$A28)</f>
        <v>0</v>
      </c>
      <c r="C28" s="11">
        <f>SUMIFS(Table3[Result],Table3[Round],C$2,Table3[SI],$A28)</f>
        <v>128</v>
      </c>
      <c r="D28" s="11">
        <f>SUMIFS(Table3[Result],Table3[Round],D$2,Table3[SI],$A28)</f>
        <v>1</v>
      </c>
      <c r="E28" s="11">
        <f>SUMIFS(Table3[Result],Table3[Round],E$2,Table3[SI],$A28)</f>
        <v>15</v>
      </c>
      <c r="F28" s="12">
        <f>SUMIFS(Table3[Result],Table3[Round],F$2,Table3[SI],$A28)</f>
        <v>1</v>
      </c>
      <c r="H28" s="34">
        <v>0</v>
      </c>
      <c r="I28" s="1">
        <f>COUNTIFS(Data_Planned!$B:$B, $A28, Data_Planned!$C:$C, I$2)</f>
        <v>2</v>
      </c>
      <c r="J28" s="1">
        <f>COUNTIFS(Data_Planned!$B:$B, $A28, Data_Planned!$C:$C, J$2)</f>
        <v>5</v>
      </c>
      <c r="K28" s="1">
        <f>COUNTIFS(Data_Planned!$B:$B, $A28, Data_Planned!$C:$C, K$2)</f>
        <v>5</v>
      </c>
      <c r="L28" s="35">
        <f>COUNTIFS(Data_Planned!$B:$B, $A28, Data_Planned!$C:$C, L$2)</f>
        <v>1</v>
      </c>
      <c r="N28" s="55">
        <f>SUMIFS(Data_Planned!$D:$D,Data_Planned!$C:$C,#REF!,Data_Planned!$B:$B,$A28)</f>
        <v>0</v>
      </c>
      <c r="O28" s="42">
        <f>SUMIFS(Data_Planned!$D:$D,Data_Planned!$C:$C,O$2,Data_Planned!$B:$B,$A28)</f>
        <v>120</v>
      </c>
      <c r="P28" s="42">
        <f>SUMIFS(Data_Planned!$D:$D,Data_Planned!$C:$C,P$2,Data_Planned!$B:$B,$A28)</f>
        <v>15</v>
      </c>
      <c r="Q28" s="42">
        <f>SUMIFS(Data_Planned!$D:$D,Data_Planned!$C:$C,Q$2,Data_Planned!$B:$B,$A28)</f>
        <v>40</v>
      </c>
      <c r="R28" s="56">
        <f>SUMIFS(Data_Planned!$D:$D,Data_Planned!$C:$C,R$2,Data_Planned!$B:$B,$A28)</f>
        <v>5</v>
      </c>
    </row>
    <row r="29" spans="1:18" ht="14.25" customHeight="1" x14ac:dyDescent="0.2">
      <c r="A29" s="61" t="s">
        <v>219</v>
      </c>
      <c r="B29" s="10">
        <f>SUMIFS(Table3[Result],Table3[Round],B$2,Table3[SI],$A29)</f>
        <v>0</v>
      </c>
      <c r="C29" s="11">
        <f>SUMIFS(Table3[Result],Table3[Round],C$2,Table3[SI],$A29)</f>
        <v>0</v>
      </c>
      <c r="D29" s="11">
        <f>SUMIFS(Table3[Result],Table3[Round],D$2,Table3[SI],$A29)</f>
        <v>1</v>
      </c>
      <c r="E29" s="11">
        <f>SUMIFS(Table3[Result],Table3[Round],E$2,Table3[SI],$A29)</f>
        <v>0</v>
      </c>
      <c r="F29" s="12">
        <f>SUMIFS(Table3[Result],Table3[Round],F$2,Table3[SI],$A29)</f>
        <v>0</v>
      </c>
      <c r="H29" s="34">
        <v>0</v>
      </c>
      <c r="I29" s="1">
        <f>COUNTIFS(Data_Planned!$B:$B, $A29, Data_Planned!$C:$C, I$2)</f>
        <v>0</v>
      </c>
      <c r="J29" s="1">
        <f>COUNTIFS(Data_Planned!$B:$B, $A29, Data_Planned!$C:$C, J$2)</f>
        <v>1</v>
      </c>
      <c r="K29" s="1">
        <f>COUNTIFS(Data_Planned!$B:$B, $A29, Data_Planned!$C:$C, K$2)</f>
        <v>4</v>
      </c>
      <c r="L29" s="35">
        <f>COUNTIFS(Data_Planned!$B:$B, $A29, Data_Planned!$C:$C, L$2)</f>
        <v>2</v>
      </c>
      <c r="N29" s="55">
        <f>SUMIFS(Data_Planned!$D:$D,Data_Planned!$C:$C,#REF!,Data_Planned!$B:$B,$A29)</f>
        <v>0</v>
      </c>
      <c r="O29" s="42">
        <f>SUMIFS(Data_Planned!$D:$D,Data_Planned!$C:$C,O$2,Data_Planned!$B:$B,$A29)</f>
        <v>0</v>
      </c>
      <c r="P29" s="42">
        <f>SUMIFS(Data_Planned!$D:$D,Data_Planned!$C:$C,P$2,Data_Planned!$B:$B,$A29)</f>
        <v>1</v>
      </c>
      <c r="Q29" s="42">
        <f>SUMIFS(Data_Planned!$D:$D,Data_Planned!$C:$C,Q$2,Data_Planned!$B:$B,$A29)</f>
        <v>5</v>
      </c>
      <c r="R29" s="56">
        <f>SUMIFS(Data_Planned!$D:$D,Data_Planned!$C:$C,R$2,Data_Planned!$B:$B,$A29)</f>
        <v>2</v>
      </c>
    </row>
    <row r="30" spans="1:18" ht="14.25" customHeight="1" x14ac:dyDescent="0.2">
      <c r="A30" s="61" t="s">
        <v>221</v>
      </c>
      <c r="B30" s="10">
        <f>SUMIFS(Table3[Result],Table3[Round],B$2,Table3[SI],$A30)</f>
        <v>0</v>
      </c>
      <c r="C30" s="11">
        <f>SUMIFS(Table3[Result],Table3[Round],C$2,Table3[SI],$A30)</f>
        <v>0</v>
      </c>
      <c r="D30" s="11">
        <f>SUMIFS(Table3[Result],Table3[Round],D$2,Table3[SI],$A30)</f>
        <v>0</v>
      </c>
      <c r="E30" s="11">
        <f>SUMIFS(Table3[Result],Table3[Round],E$2,Table3[SI],$A30)</f>
        <v>1</v>
      </c>
      <c r="F30" s="12">
        <f>SUMIFS(Table3[Result],Table3[Round],F$2,Table3[SI],$A30)</f>
        <v>0</v>
      </c>
      <c r="H30" s="34">
        <v>0</v>
      </c>
      <c r="I30" s="1">
        <f>COUNTIFS(Data_Planned!$B:$B, $A30, Data_Planned!$C:$C, I$2)</f>
        <v>0</v>
      </c>
      <c r="J30" s="1">
        <f>COUNTIFS(Data_Planned!$B:$B, $A30, Data_Planned!$C:$C, J$2)</f>
        <v>0</v>
      </c>
      <c r="K30" s="1">
        <f>COUNTIFS(Data_Planned!$B:$B, $A30, Data_Planned!$C:$C, K$2)</f>
        <v>3</v>
      </c>
      <c r="L30" s="35">
        <f>COUNTIFS(Data_Planned!$B:$B, $A30, Data_Planned!$C:$C, L$2)</f>
        <v>0</v>
      </c>
      <c r="N30" s="55">
        <f>SUMIFS(Data_Planned!$D:$D,Data_Planned!$C:$C,#REF!,Data_Planned!$B:$B,$A30)</f>
        <v>0</v>
      </c>
      <c r="O30" s="42">
        <f>SUMIFS(Data_Planned!$D:$D,Data_Planned!$C:$C,O$2,Data_Planned!$B:$B,$A30)</f>
        <v>0</v>
      </c>
      <c r="P30" s="42">
        <f>SUMIFS(Data_Planned!$D:$D,Data_Planned!$C:$C,P$2,Data_Planned!$B:$B,$A30)</f>
        <v>0</v>
      </c>
      <c r="Q30" s="42">
        <f>SUMIFS(Data_Planned!$D:$D,Data_Planned!$C:$C,Q$2,Data_Planned!$B:$B,$A30)</f>
        <v>6</v>
      </c>
      <c r="R30" s="56">
        <f>SUMIFS(Data_Planned!$D:$D,Data_Planned!$C:$C,R$2,Data_Planned!$B:$B,$A30)</f>
        <v>0</v>
      </c>
    </row>
    <row r="31" spans="1:18" ht="14.25" customHeight="1" x14ac:dyDescent="0.2">
      <c r="A31" s="61" t="s">
        <v>223</v>
      </c>
      <c r="B31" s="10">
        <f>SUMIFS(Table3[Result],Table3[Round],B$2,Table3[SI],$A31)</f>
        <v>0</v>
      </c>
      <c r="C31" s="11">
        <f>SUMIFS(Table3[Result],Table3[Round],C$2,Table3[SI],$A31)</f>
        <v>0</v>
      </c>
      <c r="D31" s="11">
        <f>SUMIFS(Table3[Result],Table3[Round],D$2,Table3[SI],$A31)</f>
        <v>1</v>
      </c>
      <c r="E31" s="11">
        <f>SUMIFS(Table3[Result],Table3[Round],E$2,Table3[SI],$A31)</f>
        <v>16</v>
      </c>
      <c r="F31" s="12">
        <f>SUMIFS(Table3[Result],Table3[Round],F$2,Table3[SI],$A31)</f>
        <v>0</v>
      </c>
      <c r="H31" s="34">
        <v>0</v>
      </c>
      <c r="I31" s="1">
        <f>COUNTIFS(Data_Planned!$B:$B, $A31, Data_Planned!$C:$C, I$2)</f>
        <v>0</v>
      </c>
      <c r="J31" s="1">
        <f>COUNTIFS(Data_Planned!$B:$B, $A31, Data_Planned!$C:$C, J$2)</f>
        <v>1</v>
      </c>
      <c r="K31" s="1">
        <f>COUNTIFS(Data_Planned!$B:$B, $A31, Data_Planned!$C:$C, K$2)</f>
        <v>10</v>
      </c>
      <c r="L31" s="35">
        <f>COUNTIFS(Data_Planned!$B:$B, $A31, Data_Planned!$C:$C, L$2)</f>
        <v>4</v>
      </c>
      <c r="N31" s="55">
        <f>SUMIFS(Data_Planned!$D:$D,Data_Planned!$C:$C,#REF!,Data_Planned!$B:$B,$A31)</f>
        <v>0</v>
      </c>
      <c r="O31" s="42">
        <f>SUMIFS(Data_Planned!$D:$D,Data_Planned!$C:$C,O$2,Data_Planned!$B:$B,$A31)</f>
        <v>0</v>
      </c>
      <c r="P31" s="42">
        <f>SUMIFS(Data_Planned!$D:$D,Data_Planned!$C:$C,P$2,Data_Planned!$B:$B,$A31)</f>
        <v>4</v>
      </c>
      <c r="Q31" s="42">
        <f>SUMIFS(Data_Planned!$D:$D,Data_Planned!$C:$C,Q$2,Data_Planned!$B:$B,$A31)</f>
        <v>26</v>
      </c>
      <c r="R31" s="56">
        <f>SUMIFS(Data_Planned!$D:$D,Data_Planned!$C:$C,R$2,Data_Planned!$B:$B,$A31)</f>
        <v>6</v>
      </c>
    </row>
    <row r="32" spans="1:18" ht="14.25" customHeight="1" x14ac:dyDescent="0.2">
      <c r="A32" s="61" t="s">
        <v>225</v>
      </c>
      <c r="B32" s="10">
        <f>SUMIFS(Table3[Result],Table3[Round],B$2,Table3[SI],$A32)</f>
        <v>0</v>
      </c>
      <c r="C32" s="11">
        <f>SUMIFS(Table3[Result],Table3[Round],C$2,Table3[SI],$A32)</f>
        <v>0</v>
      </c>
      <c r="D32" s="11">
        <f>SUMIFS(Table3[Result],Table3[Round],D$2,Table3[SI],$A32)</f>
        <v>0</v>
      </c>
      <c r="E32" s="11">
        <f>SUMIFS(Table3[Result],Table3[Round],E$2,Table3[SI],$A32)</f>
        <v>0</v>
      </c>
      <c r="F32" s="12">
        <f>SUMIFS(Table3[Result],Table3[Round],F$2,Table3[SI],$A32)</f>
        <v>0</v>
      </c>
      <c r="H32" s="34">
        <v>0</v>
      </c>
      <c r="I32" s="1">
        <f>COUNTIFS(Data_Planned!$B:$B, $A32, Data_Planned!$C:$C, I$2)</f>
        <v>0</v>
      </c>
      <c r="J32" s="1">
        <f>COUNTIFS(Data_Planned!$B:$B, $A32, Data_Planned!$C:$C, J$2)</f>
        <v>0</v>
      </c>
      <c r="K32" s="1">
        <f>COUNTIFS(Data_Planned!$B:$B, $A32, Data_Planned!$C:$C, K$2)</f>
        <v>0</v>
      </c>
      <c r="L32" s="35">
        <f>COUNTIFS(Data_Planned!$B:$B, $A32, Data_Planned!$C:$C, L$2)</f>
        <v>1</v>
      </c>
      <c r="N32" s="55">
        <f>SUMIFS(Data_Planned!$D:$D,Data_Planned!$C:$C,#REF!,Data_Planned!$B:$B,$A32)</f>
        <v>0</v>
      </c>
      <c r="O32" s="42">
        <f>SUMIFS(Data_Planned!$D:$D,Data_Planned!$C:$C,O$2,Data_Planned!$B:$B,$A32)</f>
        <v>0</v>
      </c>
      <c r="P32" s="42">
        <f>SUMIFS(Data_Planned!$D:$D,Data_Planned!$C:$C,P$2,Data_Planned!$B:$B,$A32)</f>
        <v>0</v>
      </c>
      <c r="Q32" s="42">
        <f>SUMIFS(Data_Planned!$D:$D,Data_Planned!$C:$C,Q$2,Data_Planned!$B:$B,$A32)</f>
        <v>0</v>
      </c>
      <c r="R32" s="56">
        <f>SUMIFS(Data_Planned!$D:$D,Data_Planned!$C:$C,R$2,Data_Planned!$B:$B,$A32)</f>
        <v>200</v>
      </c>
    </row>
    <row r="33" spans="1:18" ht="14.25" customHeight="1" x14ac:dyDescent="0.2">
      <c r="A33" s="61" t="s">
        <v>227</v>
      </c>
      <c r="B33" s="10">
        <f>SUMIFS(Table3[Result],Table3[Round],B$2,Table3[SI],$A33)</f>
        <v>0</v>
      </c>
      <c r="C33" s="11">
        <f>SUMIFS(Table3[Result],Table3[Round],C$2,Table3[SI],$A33)</f>
        <v>0</v>
      </c>
      <c r="D33" s="11">
        <f>SUMIFS(Table3[Result],Table3[Round],D$2,Table3[SI],$A33)</f>
        <v>1</v>
      </c>
      <c r="E33" s="11">
        <f>SUMIFS(Table3[Result],Table3[Round],E$2,Table3[SI],$A33)</f>
        <v>0</v>
      </c>
      <c r="F33" s="12">
        <f>SUMIFS(Table3[Result],Table3[Round],F$2,Table3[SI],$A33)</f>
        <v>0</v>
      </c>
      <c r="H33" s="34">
        <v>0</v>
      </c>
      <c r="I33" s="1">
        <f>COUNTIFS(Data_Planned!$B:$B, $A33, Data_Planned!$C:$C, I$2)</f>
        <v>0</v>
      </c>
      <c r="J33" s="1">
        <f>COUNTIFS(Data_Planned!$B:$B, $A33, Data_Planned!$C:$C, J$2)</f>
        <v>1</v>
      </c>
      <c r="K33" s="1">
        <f>COUNTIFS(Data_Planned!$B:$B, $A33, Data_Planned!$C:$C, K$2)</f>
        <v>0</v>
      </c>
      <c r="L33" s="35">
        <f>COUNTIFS(Data_Planned!$B:$B, $A33, Data_Planned!$C:$C, L$2)</f>
        <v>1</v>
      </c>
      <c r="N33" s="55">
        <f>SUMIFS(Data_Planned!$D:$D,Data_Planned!$C:$C,#REF!,Data_Planned!$B:$B,$A33)</f>
        <v>0</v>
      </c>
      <c r="O33" s="42">
        <f>SUMIFS(Data_Planned!$D:$D,Data_Planned!$C:$C,O$2,Data_Planned!$B:$B,$A33)</f>
        <v>0</v>
      </c>
      <c r="P33" s="42">
        <f>SUMIFS(Data_Planned!$D:$D,Data_Planned!$C:$C,P$2,Data_Planned!$B:$B,$A33)</f>
        <v>2</v>
      </c>
      <c r="Q33" s="42">
        <f>SUMIFS(Data_Planned!$D:$D,Data_Planned!$C:$C,Q$2,Data_Planned!$B:$B,$A33)</f>
        <v>0</v>
      </c>
      <c r="R33" s="56">
        <f>SUMIFS(Data_Planned!$D:$D,Data_Planned!$C:$C,R$2,Data_Planned!$B:$B,$A33)</f>
        <v>1</v>
      </c>
    </row>
    <row r="34" spans="1:18" ht="14.25" customHeight="1" x14ac:dyDescent="0.2">
      <c r="A34" s="61" t="s">
        <v>230</v>
      </c>
      <c r="B34" s="10">
        <f>SUMIFS(Table3[Result],Table3[Round],B$2,Table3[SI],$A34)</f>
        <v>0</v>
      </c>
      <c r="C34" s="11">
        <f>SUMIFS(Table3[Result],Table3[Round],C$2,Table3[SI],$A34)</f>
        <v>0</v>
      </c>
      <c r="D34" s="11">
        <f>SUMIFS(Table3[Result],Table3[Round],D$2,Table3[SI],$A34)</f>
        <v>3</v>
      </c>
      <c r="E34" s="11">
        <f>SUMIFS(Table3[Result],Table3[Round],E$2,Table3[SI],$A34)</f>
        <v>0</v>
      </c>
      <c r="F34" s="12">
        <f>SUMIFS(Table3[Result],Table3[Round],F$2,Table3[SI],$A34)</f>
        <v>0</v>
      </c>
      <c r="H34" s="34">
        <v>0</v>
      </c>
      <c r="I34" s="1">
        <f>COUNTIFS(Data_Planned!$B:$B, $A34, Data_Planned!$C:$C, I$2)</f>
        <v>1</v>
      </c>
      <c r="J34" s="1">
        <f>COUNTIFS(Data_Planned!$B:$B, $A34, Data_Planned!$C:$C, J$2)</f>
        <v>1</v>
      </c>
      <c r="K34" s="1">
        <f>COUNTIFS(Data_Planned!$B:$B, $A34, Data_Planned!$C:$C, K$2)</f>
        <v>1</v>
      </c>
      <c r="L34" s="35">
        <f>COUNTIFS(Data_Planned!$B:$B, $A34, Data_Planned!$C:$C, L$2)</f>
        <v>2</v>
      </c>
      <c r="N34" s="55">
        <f>SUMIFS(Data_Planned!$D:$D,Data_Planned!$C:$C,#REF!,Data_Planned!$B:$B,$A34)</f>
        <v>0</v>
      </c>
      <c r="O34" s="42">
        <f>SUMIFS(Data_Planned!$D:$D,Data_Planned!$C:$C,O$2,Data_Planned!$B:$B,$A34)</f>
        <v>15</v>
      </c>
      <c r="P34" s="42">
        <f>SUMIFS(Data_Planned!$D:$D,Data_Planned!$C:$C,P$2,Data_Planned!$B:$B,$A34)</f>
        <v>3</v>
      </c>
      <c r="Q34" s="42">
        <f>SUMIFS(Data_Planned!$D:$D,Data_Planned!$C:$C,Q$2,Data_Planned!$B:$B,$A34)</f>
        <v>0</v>
      </c>
      <c r="R34" s="56">
        <f>SUMIFS(Data_Planned!$D:$D,Data_Planned!$C:$C,R$2,Data_Planned!$B:$B,$A34)</f>
        <v>4</v>
      </c>
    </row>
    <row r="35" spans="1:18" ht="14.25" customHeight="1" x14ac:dyDescent="0.2">
      <c r="A35" s="61" t="s">
        <v>232</v>
      </c>
      <c r="B35" s="10">
        <f>SUMIFS(Table3[Result],Table3[Round],B$2,Table3[SI],$A35)</f>
        <v>0</v>
      </c>
      <c r="C35" s="11">
        <f>SUMIFS(Table3[Result],Table3[Round],C$2,Table3[SI],$A35)</f>
        <v>0</v>
      </c>
      <c r="D35" s="11">
        <f>SUMIFS(Table3[Result],Table3[Round],D$2,Table3[SI],$A35)</f>
        <v>0</v>
      </c>
      <c r="E35" s="11">
        <f>SUMIFS(Table3[Result],Table3[Round],E$2,Table3[SI],$A35)</f>
        <v>0</v>
      </c>
      <c r="F35" s="12">
        <f>SUMIFS(Table3[Result],Table3[Round],F$2,Table3[SI],$A35)</f>
        <v>4</v>
      </c>
      <c r="H35" s="34">
        <v>0</v>
      </c>
      <c r="I35" s="1">
        <f>COUNTIFS(Data_Planned!$B:$B, $A35, Data_Planned!$C:$C, I$2)</f>
        <v>0</v>
      </c>
      <c r="J35" s="1">
        <f>COUNTIFS(Data_Planned!$B:$B, $A35, Data_Planned!$C:$C, J$2)</f>
        <v>1</v>
      </c>
      <c r="K35" s="1">
        <f>COUNTIFS(Data_Planned!$B:$B, $A35, Data_Planned!$C:$C, K$2)</f>
        <v>2</v>
      </c>
      <c r="L35" s="35">
        <f>COUNTIFS(Data_Planned!$B:$B, $A35, Data_Planned!$C:$C, L$2)</f>
        <v>1</v>
      </c>
      <c r="N35" s="55">
        <f>SUMIFS(Data_Planned!$D:$D,Data_Planned!$C:$C,#REF!,Data_Planned!$B:$B,$A35)</f>
        <v>0</v>
      </c>
      <c r="O35" s="42">
        <f>SUMIFS(Data_Planned!$D:$D,Data_Planned!$C:$C,O$2,Data_Planned!$B:$B,$A35)</f>
        <v>0</v>
      </c>
      <c r="P35" s="42">
        <f>SUMIFS(Data_Planned!$D:$D,Data_Planned!$C:$C,P$2,Data_Planned!$B:$B,$A35)</f>
        <v>2</v>
      </c>
      <c r="Q35" s="42">
        <f>SUMIFS(Data_Planned!$D:$D,Data_Planned!$C:$C,Q$2,Data_Planned!$B:$B,$A35)</f>
        <v>6</v>
      </c>
      <c r="R35" s="56">
        <f>SUMIFS(Data_Planned!$D:$D,Data_Planned!$C:$C,R$2,Data_Planned!$B:$B,$A35)</f>
        <v>4</v>
      </c>
    </row>
    <row r="36" spans="1:18" ht="14.25" customHeight="1" x14ac:dyDescent="0.2">
      <c r="A36" s="61" t="s">
        <v>234</v>
      </c>
      <c r="B36" s="10">
        <f>SUMIFS(Table3[Result],Table3[Round],B$2,Table3[SI],$A36)</f>
        <v>0</v>
      </c>
      <c r="C36" s="11">
        <f>SUMIFS(Table3[Result],Table3[Round],C$2,Table3[SI],$A36)</f>
        <v>0</v>
      </c>
      <c r="D36" s="11">
        <f>SUMIFS(Table3[Result],Table3[Round],D$2,Table3[SI],$A36)</f>
        <v>0</v>
      </c>
      <c r="E36" s="11">
        <f>SUMIFS(Table3[Result],Table3[Round],E$2,Table3[SI],$A36)</f>
        <v>0</v>
      </c>
      <c r="F36" s="12">
        <f>SUMIFS(Table3[Result],Table3[Round],F$2,Table3[SI],$A36)</f>
        <v>0</v>
      </c>
      <c r="H36" s="34">
        <v>0</v>
      </c>
      <c r="I36" s="1">
        <f>COUNTIFS(Data_Planned!$B:$B, $A36, Data_Planned!$C:$C, I$2)</f>
        <v>0</v>
      </c>
      <c r="J36" s="1">
        <f>COUNTIFS(Data_Planned!$B:$B, $A36, Data_Planned!$C:$C, J$2)</f>
        <v>0</v>
      </c>
      <c r="K36" s="1">
        <f>COUNTIFS(Data_Planned!$B:$B, $A36, Data_Planned!$C:$C, K$2)</f>
        <v>1</v>
      </c>
      <c r="L36" s="35">
        <f>COUNTIFS(Data_Planned!$B:$B, $A36, Data_Planned!$C:$C, L$2)</f>
        <v>0</v>
      </c>
      <c r="N36" s="55">
        <f>SUMIFS(Data_Planned!$D:$D,Data_Planned!$C:$C,#REF!,Data_Planned!$B:$B,$A36)</f>
        <v>0</v>
      </c>
      <c r="O36" s="42">
        <f>SUMIFS(Data_Planned!$D:$D,Data_Planned!$C:$C,O$2,Data_Planned!$B:$B,$A36)</f>
        <v>0</v>
      </c>
      <c r="P36" s="42">
        <f>SUMIFS(Data_Planned!$D:$D,Data_Planned!$C:$C,P$2,Data_Planned!$B:$B,$A36)</f>
        <v>0</v>
      </c>
      <c r="Q36" s="42">
        <f>SUMIFS(Data_Planned!$D:$D,Data_Planned!$C:$C,Q$2,Data_Planned!$B:$B,$A36)</f>
        <v>2</v>
      </c>
      <c r="R36" s="56">
        <f>SUMIFS(Data_Planned!$D:$D,Data_Planned!$C:$C,R$2,Data_Planned!$B:$B,$A36)</f>
        <v>0</v>
      </c>
    </row>
    <row r="37" spans="1:18" ht="14.25" customHeight="1" x14ac:dyDescent="0.2">
      <c r="A37" s="61" t="s">
        <v>236</v>
      </c>
      <c r="B37" s="10">
        <f>SUMIFS(Table3[Result],Table3[Round],B$2,Table3[SI],$A37)</f>
        <v>0</v>
      </c>
      <c r="C37" s="11">
        <f>SUMIFS(Table3[Result],Table3[Round],C$2,Table3[SI],$A37)</f>
        <v>0</v>
      </c>
      <c r="D37" s="11">
        <f>SUMIFS(Table3[Result],Table3[Round],D$2,Table3[SI],$A37)</f>
        <v>0</v>
      </c>
      <c r="E37" s="11">
        <f>SUMIFS(Table3[Result],Table3[Round],E$2,Table3[SI],$A37)</f>
        <v>0</v>
      </c>
      <c r="F37" s="12">
        <f>SUMIFS(Table3[Result],Table3[Round],F$2,Table3[SI],$A37)</f>
        <v>0</v>
      </c>
      <c r="H37" s="34">
        <v>0</v>
      </c>
      <c r="I37" s="1">
        <f>COUNTIFS(Data_Planned!$B:$B, $A37, Data_Planned!$C:$C, I$2)</f>
        <v>0</v>
      </c>
      <c r="J37" s="1">
        <f>COUNTIFS(Data_Planned!$B:$B, $A37, Data_Planned!$C:$C, J$2)</f>
        <v>1</v>
      </c>
      <c r="K37" s="1">
        <f>COUNTIFS(Data_Planned!$B:$B, $A37, Data_Planned!$C:$C, K$2)</f>
        <v>0</v>
      </c>
      <c r="L37" s="35">
        <f>COUNTIFS(Data_Planned!$B:$B, $A37, Data_Planned!$C:$C, L$2)</f>
        <v>0</v>
      </c>
      <c r="N37" s="55">
        <f>SUMIFS(Data_Planned!$D:$D,Data_Planned!$C:$C,#REF!,Data_Planned!$B:$B,$A37)</f>
        <v>0</v>
      </c>
      <c r="O37" s="42">
        <f>SUMIFS(Data_Planned!$D:$D,Data_Planned!$C:$C,O$2,Data_Planned!$B:$B,$A37)</f>
        <v>0</v>
      </c>
      <c r="P37" s="42">
        <f>SUMIFS(Data_Planned!$D:$D,Data_Planned!$C:$C,P$2,Data_Planned!$B:$B,$A37)</f>
        <v>1</v>
      </c>
      <c r="Q37" s="42">
        <f>SUMIFS(Data_Planned!$D:$D,Data_Planned!$C:$C,Q$2,Data_Planned!$B:$B,$A37)</f>
        <v>0</v>
      </c>
      <c r="R37" s="56">
        <f>SUMIFS(Data_Planned!$D:$D,Data_Planned!$C:$C,R$2,Data_Planned!$B:$B,$A37)</f>
        <v>0</v>
      </c>
    </row>
    <row r="38" spans="1:18" ht="14.25" customHeight="1" x14ac:dyDescent="0.2">
      <c r="A38" s="61" t="s">
        <v>238</v>
      </c>
      <c r="B38" s="10">
        <f>SUMIFS(Table3[Result],Table3[Round],B$2,Table3[SI],$A38)</f>
        <v>0</v>
      </c>
      <c r="C38" s="11">
        <f>SUMIFS(Table3[Result],Table3[Round],C$2,Table3[SI],$A38)</f>
        <v>0</v>
      </c>
      <c r="D38" s="11">
        <f>SUMIFS(Table3[Result],Table3[Round],D$2,Table3[SI],$A38)</f>
        <v>3464</v>
      </c>
      <c r="E38" s="11">
        <f>SUMIFS(Table3[Result],Table3[Round],E$2,Table3[SI],$A38)</f>
        <v>409014</v>
      </c>
      <c r="F38" s="12">
        <f>SUMIFS(Table3[Result],Table3[Round],F$2,Table3[SI],$A38)</f>
        <v>0</v>
      </c>
      <c r="H38" s="34">
        <v>0</v>
      </c>
      <c r="I38" s="1">
        <f>COUNTIFS(Data_Planned!$B:$B, $A38, Data_Planned!$C:$C, I$2)</f>
        <v>0</v>
      </c>
      <c r="J38" s="1">
        <f>COUNTIFS(Data_Planned!$B:$B, $A38, Data_Planned!$C:$C, J$2)</f>
        <v>4</v>
      </c>
      <c r="K38" s="1">
        <f>COUNTIFS(Data_Planned!$B:$B, $A38, Data_Planned!$C:$C, K$2)</f>
        <v>9</v>
      </c>
      <c r="L38" s="35">
        <f>COUNTIFS(Data_Planned!$B:$B, $A38, Data_Planned!$C:$C, L$2)</f>
        <v>4</v>
      </c>
      <c r="N38" s="55">
        <f>SUMIFS(Data_Planned!$D:$D,Data_Planned!$C:$C,#REF!,Data_Planned!$B:$B,$A38)</f>
        <v>0</v>
      </c>
      <c r="O38" s="42">
        <f>SUMIFS(Data_Planned!$D:$D,Data_Planned!$C:$C,O$2,Data_Planned!$B:$B,$A38)</f>
        <v>0</v>
      </c>
      <c r="P38" s="42">
        <f>SUMIFS(Data_Planned!$D:$D,Data_Planned!$C:$C,P$2,Data_Planned!$B:$B,$A38)</f>
        <v>8500</v>
      </c>
      <c r="Q38" s="42">
        <f>SUMIFS(Data_Planned!$D:$D,Data_Planned!$C:$C,Q$2,Data_Planned!$B:$B,$A38)</f>
        <v>980048</v>
      </c>
      <c r="R38" s="56">
        <f>SUMIFS(Data_Planned!$D:$D,Data_Planned!$C:$C,R$2,Data_Planned!$B:$B,$A38)</f>
        <v>92</v>
      </c>
    </row>
    <row r="39" spans="1:18" ht="14.25" customHeight="1" x14ac:dyDescent="0.2">
      <c r="A39" s="61" t="s">
        <v>240</v>
      </c>
      <c r="B39" s="10">
        <f>SUMIFS(Table3[Result],Table3[Round],B$2,Table3[SI],$A39)</f>
        <v>0</v>
      </c>
      <c r="C39" s="11">
        <f>SUMIFS(Table3[Result],Table3[Round],C$2,Table3[SI],$A39)</f>
        <v>0</v>
      </c>
      <c r="D39" s="11">
        <f>SUMIFS(Table3[Result],Table3[Round],D$2,Table3[SI],$A39)</f>
        <v>53</v>
      </c>
      <c r="E39" s="11">
        <f>SUMIFS(Table3[Result],Table3[Round],E$2,Table3[SI],$A39)</f>
        <v>412</v>
      </c>
      <c r="F39" s="12">
        <f>SUMIFS(Table3[Result],Table3[Round],F$2,Table3[SI],$A39)</f>
        <v>5</v>
      </c>
      <c r="H39" s="34">
        <v>0</v>
      </c>
      <c r="I39" s="1">
        <f>COUNTIFS(Data_Planned!$B:$B, $A39, Data_Planned!$C:$C, I$2)</f>
        <v>0</v>
      </c>
      <c r="J39" s="1">
        <f>COUNTIFS(Data_Planned!$B:$B, $A39, Data_Planned!$C:$C, J$2)</f>
        <v>1</v>
      </c>
      <c r="K39" s="1">
        <f>COUNTIFS(Data_Planned!$B:$B, $A39, Data_Planned!$C:$C, K$2)</f>
        <v>2</v>
      </c>
      <c r="L39" s="35">
        <f>COUNTIFS(Data_Planned!$B:$B, $A39, Data_Planned!$C:$C, L$2)</f>
        <v>1</v>
      </c>
      <c r="N39" s="55">
        <f>SUMIFS(Data_Planned!$D:$D,Data_Planned!$C:$C,#REF!,Data_Planned!$B:$B,$A39)</f>
        <v>0</v>
      </c>
      <c r="O39" s="42">
        <f>SUMIFS(Data_Planned!$D:$D,Data_Planned!$C:$C,O$2,Data_Planned!$B:$B,$A39)</f>
        <v>0</v>
      </c>
      <c r="P39" s="42">
        <f>SUMIFS(Data_Planned!$D:$D,Data_Planned!$C:$C,P$2,Data_Planned!$B:$B,$A39)</f>
        <v>53</v>
      </c>
      <c r="Q39" s="42">
        <f>SUMIFS(Data_Planned!$D:$D,Data_Planned!$C:$C,Q$2,Data_Planned!$B:$B,$A39)</f>
        <v>1300</v>
      </c>
      <c r="R39" s="56">
        <f>SUMIFS(Data_Planned!$D:$D,Data_Planned!$C:$C,R$2,Data_Planned!$B:$B,$A39)</f>
        <v>10</v>
      </c>
    </row>
    <row r="40" spans="1:18" ht="14.25" customHeight="1" x14ac:dyDescent="0.2">
      <c r="A40" s="61" t="s">
        <v>243</v>
      </c>
      <c r="B40" s="10">
        <f>SUMIFS(Table3[Result],Table3[Round],B$2,Table3[SI],$A40)</f>
        <v>0</v>
      </c>
      <c r="C40" s="11">
        <f>SUMIFS(Table3[Result],Table3[Round],C$2,Table3[SI],$A40)</f>
        <v>0</v>
      </c>
      <c r="D40" s="11">
        <f>SUMIFS(Table3[Result],Table3[Round],D$2,Table3[SI],$A40)</f>
        <v>10</v>
      </c>
      <c r="E40" s="11">
        <f>SUMIFS(Table3[Result],Table3[Round],E$2,Table3[SI],$A40)</f>
        <v>15</v>
      </c>
      <c r="F40" s="12">
        <f>SUMIFS(Table3[Result],Table3[Round],F$2,Table3[SI],$A40)</f>
        <v>0</v>
      </c>
      <c r="H40" s="34">
        <v>0</v>
      </c>
      <c r="I40" s="1">
        <f>COUNTIFS(Data_Planned!$B:$B, $A40, Data_Planned!$C:$C, I$2)</f>
        <v>0</v>
      </c>
      <c r="J40" s="1">
        <f>COUNTIFS(Data_Planned!$B:$B, $A40, Data_Planned!$C:$C, J$2)</f>
        <v>0</v>
      </c>
      <c r="K40" s="1">
        <f>COUNTIFS(Data_Planned!$B:$B, $A40, Data_Planned!$C:$C, K$2)</f>
        <v>3</v>
      </c>
      <c r="L40" s="35">
        <f>COUNTIFS(Data_Planned!$B:$B, $A40, Data_Planned!$C:$C, L$2)</f>
        <v>1</v>
      </c>
      <c r="N40" s="55">
        <f>SUMIFS(Data_Planned!$D:$D,Data_Planned!$C:$C,#REF!,Data_Planned!$B:$B,$A40)</f>
        <v>0</v>
      </c>
      <c r="O40" s="42">
        <f>SUMIFS(Data_Planned!$D:$D,Data_Planned!$C:$C,O$2,Data_Planned!$B:$B,$A40)</f>
        <v>0</v>
      </c>
      <c r="P40" s="42">
        <f>SUMIFS(Data_Planned!$D:$D,Data_Planned!$C:$C,P$2,Data_Planned!$B:$B,$A40)</f>
        <v>0</v>
      </c>
      <c r="Q40" s="42">
        <f>SUMIFS(Data_Planned!$D:$D,Data_Planned!$C:$C,Q$2,Data_Planned!$B:$B,$A40)</f>
        <v>54</v>
      </c>
      <c r="R40" s="56">
        <f>SUMIFS(Data_Planned!$D:$D,Data_Planned!$C:$C,R$2,Data_Planned!$B:$B,$A40)</f>
        <v>0</v>
      </c>
    </row>
    <row r="41" spans="1:18" ht="14.25" customHeight="1" x14ac:dyDescent="0.2">
      <c r="A41" s="61" t="s">
        <v>245</v>
      </c>
      <c r="B41" s="10">
        <f>SUMIFS(Table3[Result],Table3[Round],B$2,Table3[SI],$A41)</f>
        <v>0</v>
      </c>
      <c r="C41" s="11">
        <f>SUMIFS(Table3[Result],Table3[Round],C$2,Table3[SI],$A41)</f>
        <v>2</v>
      </c>
      <c r="D41" s="11">
        <f>SUMIFS(Table3[Result],Table3[Round],D$2,Table3[SI],$A41)</f>
        <v>31</v>
      </c>
      <c r="E41" s="11">
        <f>SUMIFS(Table3[Result],Table3[Round],E$2,Table3[SI],$A41)</f>
        <v>55</v>
      </c>
      <c r="F41" s="12">
        <f>SUMIFS(Table3[Result],Table3[Round],F$2,Table3[SI],$A41)</f>
        <v>7</v>
      </c>
      <c r="H41" s="34">
        <v>0</v>
      </c>
      <c r="I41" s="1">
        <f>COUNTIFS(Data_Planned!$B:$B, $A41, Data_Planned!$C:$C, I$2)</f>
        <v>1</v>
      </c>
      <c r="J41" s="1">
        <f>COUNTIFS(Data_Planned!$B:$B, $A41, Data_Planned!$C:$C, J$2)</f>
        <v>2</v>
      </c>
      <c r="K41" s="1">
        <f>COUNTIFS(Data_Planned!$B:$B, $A41, Data_Planned!$C:$C, K$2)</f>
        <v>8</v>
      </c>
      <c r="L41" s="35">
        <f>COUNTIFS(Data_Planned!$B:$B, $A41, Data_Planned!$C:$C, L$2)</f>
        <v>2</v>
      </c>
      <c r="N41" s="55">
        <f>SUMIFS(Data_Planned!$D:$D,Data_Planned!$C:$C,#REF!,Data_Planned!$B:$B,$A41)</f>
        <v>0</v>
      </c>
      <c r="O41" s="42">
        <f>SUMIFS(Data_Planned!$D:$D,Data_Planned!$C:$C,O$2,Data_Planned!$B:$B,$A41)</f>
        <v>2</v>
      </c>
      <c r="P41" s="42">
        <f>SUMIFS(Data_Planned!$D:$D,Data_Planned!$C:$C,P$2,Data_Planned!$B:$B,$A41)</f>
        <v>25</v>
      </c>
      <c r="Q41" s="42">
        <f>SUMIFS(Data_Planned!$D:$D,Data_Planned!$C:$C,Q$2,Data_Planned!$B:$B,$A41)</f>
        <v>43</v>
      </c>
      <c r="R41" s="56">
        <f>SUMIFS(Data_Planned!$D:$D,Data_Planned!$C:$C,R$2,Data_Planned!$B:$B,$A41)</f>
        <v>20</v>
      </c>
    </row>
    <row r="42" spans="1:18" ht="14.25" customHeight="1" x14ac:dyDescent="0.2">
      <c r="A42" s="61" t="s">
        <v>247</v>
      </c>
      <c r="B42" s="10">
        <f>SUMIFS(Table3[Result],Table3[Round],B$2,Table3[SI],$A42)</f>
        <v>0</v>
      </c>
      <c r="C42" s="11">
        <f>SUMIFS(Table3[Result],Table3[Round],C$2,Table3[SI],$A42)</f>
        <v>0</v>
      </c>
      <c r="D42" s="11">
        <f>SUMIFS(Table3[Result],Table3[Round],D$2,Table3[SI],$A42)</f>
        <v>3201</v>
      </c>
      <c r="E42" s="11">
        <f>SUMIFS(Table3[Result],Table3[Round],E$2,Table3[SI],$A42)</f>
        <v>0</v>
      </c>
      <c r="F42" s="12">
        <f>SUMIFS(Table3[Result],Table3[Round],F$2,Table3[SI],$A42)</f>
        <v>0</v>
      </c>
      <c r="H42" s="34">
        <v>0</v>
      </c>
      <c r="I42" s="1">
        <f>COUNTIFS(Data_Planned!$B:$B, $A42, Data_Planned!$C:$C, I$2)</f>
        <v>1</v>
      </c>
      <c r="J42" s="1">
        <f>COUNTIFS(Data_Planned!$B:$B, $A42, Data_Planned!$C:$C, J$2)</f>
        <v>2</v>
      </c>
      <c r="K42" s="1">
        <f>COUNTIFS(Data_Planned!$B:$B, $A42, Data_Planned!$C:$C, K$2)</f>
        <v>1</v>
      </c>
      <c r="L42" s="35">
        <f>COUNTIFS(Data_Planned!$B:$B, $A42, Data_Planned!$C:$C, L$2)</f>
        <v>2</v>
      </c>
      <c r="N42" s="55">
        <f>SUMIFS(Data_Planned!$D:$D,Data_Planned!$C:$C,#REF!,Data_Planned!$B:$B,$A42)</f>
        <v>0</v>
      </c>
      <c r="O42" s="42">
        <f>SUMIFS(Data_Planned!$D:$D,Data_Planned!$C:$C,O$2,Data_Planned!$B:$B,$A42)</f>
        <v>15</v>
      </c>
      <c r="P42" s="42">
        <f>SUMIFS(Data_Planned!$D:$D,Data_Planned!$C:$C,P$2,Data_Planned!$B:$B,$A42)</f>
        <v>3006</v>
      </c>
      <c r="Q42" s="42">
        <f>SUMIFS(Data_Planned!$D:$D,Data_Planned!$C:$C,Q$2,Data_Planned!$B:$B,$A42)</f>
        <v>0</v>
      </c>
      <c r="R42" s="56">
        <f>SUMIFS(Data_Planned!$D:$D,Data_Planned!$C:$C,R$2,Data_Planned!$B:$B,$A42)</f>
        <v>5</v>
      </c>
    </row>
    <row r="43" spans="1:18" ht="14.25" customHeight="1" x14ac:dyDescent="0.2">
      <c r="A43" s="61" t="s">
        <v>250</v>
      </c>
      <c r="B43" s="10">
        <f>SUMIFS(Table3[Result],Table3[Round],B$2,Table3[SI],$A43)</f>
        <v>0</v>
      </c>
      <c r="C43" s="11">
        <f>SUMIFS(Table3[Result],Table3[Round],C$2,Table3[SI],$A43)</f>
        <v>8</v>
      </c>
      <c r="D43" s="11">
        <f>SUMIFS(Table3[Result],Table3[Round],D$2,Table3[SI],$A43)</f>
        <v>5</v>
      </c>
      <c r="E43" s="11">
        <f>SUMIFS(Table3[Result],Table3[Round],E$2,Table3[SI],$A43)</f>
        <v>3</v>
      </c>
      <c r="F43" s="12">
        <f>SUMIFS(Table3[Result],Table3[Round],F$2,Table3[SI],$A43)</f>
        <v>0</v>
      </c>
      <c r="H43" s="34">
        <v>0</v>
      </c>
      <c r="I43" s="1">
        <f>COUNTIFS(Data_Planned!$B:$B, $A43, Data_Planned!$C:$C, I$2)</f>
        <v>3</v>
      </c>
      <c r="J43" s="1">
        <f>COUNTIFS(Data_Planned!$B:$B, $A43, Data_Planned!$C:$C, J$2)</f>
        <v>5</v>
      </c>
      <c r="K43" s="1">
        <f>COUNTIFS(Data_Planned!$B:$B, $A43, Data_Planned!$C:$C, K$2)</f>
        <v>6</v>
      </c>
      <c r="L43" s="35">
        <f>COUNTIFS(Data_Planned!$B:$B, $A43, Data_Planned!$C:$C, L$2)</f>
        <v>2</v>
      </c>
      <c r="N43" s="55">
        <f>SUMIFS(Data_Planned!$D:$D,Data_Planned!$C:$C,#REF!,Data_Planned!$B:$B,$A43)</f>
        <v>0</v>
      </c>
      <c r="O43" s="42">
        <f>SUMIFS(Data_Planned!$D:$D,Data_Planned!$C:$C,O$2,Data_Planned!$B:$B,$A43)</f>
        <v>9</v>
      </c>
      <c r="P43" s="42">
        <f>SUMIFS(Data_Planned!$D:$D,Data_Planned!$C:$C,P$2,Data_Planned!$B:$B,$A43)</f>
        <v>14</v>
      </c>
      <c r="Q43" s="42">
        <f>SUMIFS(Data_Planned!$D:$D,Data_Planned!$C:$C,Q$2,Data_Planned!$B:$B,$A43)</f>
        <v>15</v>
      </c>
      <c r="R43" s="56">
        <f>SUMIFS(Data_Planned!$D:$D,Data_Planned!$C:$C,R$2,Data_Planned!$B:$B,$A43)</f>
        <v>6</v>
      </c>
    </row>
    <row r="44" spans="1:18" ht="14.25" customHeight="1" x14ac:dyDescent="0.2">
      <c r="A44" s="61" t="s">
        <v>252</v>
      </c>
      <c r="B44" s="10">
        <f>SUMIFS(Table3[Result],Table3[Round],B$2,Table3[SI],$A44)</f>
        <v>0</v>
      </c>
      <c r="C44" s="11">
        <f>SUMIFS(Table3[Result],Table3[Round],C$2,Table3[SI],$A44)</f>
        <v>1</v>
      </c>
      <c r="D44" s="11">
        <f>SUMIFS(Table3[Result],Table3[Round],D$2,Table3[SI],$A44)</f>
        <v>3</v>
      </c>
      <c r="E44" s="11">
        <f>SUMIFS(Table3[Result],Table3[Round],E$2,Table3[SI],$A44)</f>
        <v>0</v>
      </c>
      <c r="F44" s="12">
        <f>SUMIFS(Table3[Result],Table3[Round],F$2,Table3[SI],$A44)</f>
        <v>0</v>
      </c>
      <c r="H44" s="34">
        <v>0</v>
      </c>
      <c r="I44" s="1">
        <f>COUNTIFS(Data_Planned!$B:$B, $A44, Data_Planned!$C:$C, I$2)</f>
        <v>2</v>
      </c>
      <c r="J44" s="1">
        <f>COUNTIFS(Data_Planned!$B:$B, $A44, Data_Planned!$C:$C, J$2)</f>
        <v>1</v>
      </c>
      <c r="K44" s="1">
        <f>COUNTIFS(Data_Planned!$B:$B, $A44, Data_Planned!$C:$C, K$2)</f>
        <v>1</v>
      </c>
      <c r="L44" s="35">
        <f>COUNTIFS(Data_Planned!$B:$B, $A44, Data_Planned!$C:$C, L$2)</f>
        <v>3</v>
      </c>
      <c r="N44" s="55">
        <f>SUMIFS(Data_Planned!$D:$D,Data_Planned!$C:$C,#REF!,Data_Planned!$B:$B,$A44)</f>
        <v>0</v>
      </c>
      <c r="O44" s="42">
        <f>SUMIFS(Data_Planned!$D:$D,Data_Planned!$C:$C,O$2,Data_Planned!$B:$B,$A44)</f>
        <v>2</v>
      </c>
      <c r="P44" s="42">
        <f>SUMIFS(Data_Planned!$D:$D,Data_Planned!$C:$C,P$2,Data_Planned!$B:$B,$A44)</f>
        <v>1</v>
      </c>
      <c r="Q44" s="42">
        <f>SUMIFS(Data_Planned!$D:$D,Data_Planned!$C:$C,Q$2,Data_Planned!$B:$B,$A44)</f>
        <v>1</v>
      </c>
      <c r="R44" s="56">
        <f>SUMIFS(Data_Planned!$D:$D,Data_Planned!$C:$C,R$2,Data_Planned!$B:$B,$A44)</f>
        <v>10</v>
      </c>
    </row>
    <row r="45" spans="1:18" ht="14.25" customHeight="1" x14ac:dyDescent="0.2">
      <c r="A45" s="61" t="s">
        <v>254</v>
      </c>
      <c r="B45" s="10">
        <f>SUMIFS(Table3[Result],Table3[Round],B$2,Table3[SI],$A45)</f>
        <v>0</v>
      </c>
      <c r="C45" s="11">
        <f>SUMIFS(Table3[Result],Table3[Round],C$2,Table3[SI],$A45)</f>
        <v>2</v>
      </c>
      <c r="D45" s="11">
        <f>SUMIFS(Table3[Result],Table3[Round],D$2,Table3[SI],$A45)</f>
        <v>1</v>
      </c>
      <c r="E45" s="11">
        <f>SUMIFS(Table3[Result],Table3[Round],E$2,Table3[SI],$A45)</f>
        <v>4</v>
      </c>
      <c r="F45" s="12">
        <f>SUMIFS(Table3[Result],Table3[Round],F$2,Table3[SI],$A45)</f>
        <v>2</v>
      </c>
      <c r="H45" s="34">
        <v>0</v>
      </c>
      <c r="I45" s="1">
        <f>COUNTIFS(Data_Planned!$B:$B, $A45, Data_Planned!$C:$C, I$2)</f>
        <v>2</v>
      </c>
      <c r="J45" s="1">
        <f>COUNTIFS(Data_Planned!$B:$B, $A45, Data_Planned!$C:$C, J$2)</f>
        <v>2</v>
      </c>
      <c r="K45" s="1">
        <f>COUNTIFS(Data_Planned!$B:$B, $A45, Data_Planned!$C:$C, K$2)</f>
        <v>3</v>
      </c>
      <c r="L45" s="35">
        <f>COUNTIFS(Data_Planned!$B:$B, $A45, Data_Planned!$C:$C, L$2)</f>
        <v>3</v>
      </c>
      <c r="N45" s="55">
        <f>SUMIFS(Data_Planned!$D:$D,Data_Planned!$C:$C,#REF!,Data_Planned!$B:$B,$A45)</f>
        <v>0</v>
      </c>
      <c r="O45" s="42">
        <f>SUMIFS(Data_Planned!$D:$D,Data_Planned!$C:$C,O$2,Data_Planned!$B:$B,$A45)</f>
        <v>2</v>
      </c>
      <c r="P45" s="42">
        <f>SUMIFS(Data_Planned!$D:$D,Data_Planned!$C:$C,P$2,Data_Planned!$B:$B,$A45)</f>
        <v>5</v>
      </c>
      <c r="Q45" s="42">
        <f>SUMIFS(Data_Planned!$D:$D,Data_Planned!$C:$C,Q$2,Data_Planned!$B:$B,$A45)</f>
        <v>19</v>
      </c>
      <c r="R45" s="56">
        <f>SUMIFS(Data_Planned!$D:$D,Data_Planned!$C:$C,R$2,Data_Planned!$B:$B,$A45)</f>
        <v>15</v>
      </c>
    </row>
    <row r="46" spans="1:18" ht="14.25" customHeight="1" x14ac:dyDescent="0.2">
      <c r="A46" s="61"/>
      <c r="B46" s="10"/>
      <c r="C46" s="11"/>
      <c r="D46" s="11"/>
      <c r="E46" s="11"/>
      <c r="F46" s="12"/>
      <c r="H46" s="34"/>
      <c r="L46" s="35"/>
      <c r="N46" s="55"/>
      <c r="O46" s="42"/>
      <c r="P46" s="42"/>
      <c r="Q46" s="42"/>
      <c r="R46" s="56"/>
    </row>
    <row r="47" spans="1:18" ht="14.25" customHeight="1" x14ac:dyDescent="0.2">
      <c r="A47" s="61" t="s">
        <v>257</v>
      </c>
      <c r="B47" s="10">
        <f>SUMIFS(Table3[Result],Table3[Round],B$2,Table3[SI],$A47)</f>
        <v>0</v>
      </c>
      <c r="C47" s="11">
        <f>SUMIFS(Table3[Result],Table3[Round],C$2,Table3[SI],$A47)</f>
        <v>20.56</v>
      </c>
      <c r="D47" s="11">
        <f>SUMIFS(Table3[Result],Table3[Round],D$2,Table3[SI],$A47)</f>
        <v>20</v>
      </c>
      <c r="E47" s="11">
        <f>SUMIFS(Table3[Result],Table3[Round],E$2,Table3[SI],$A47)</f>
        <v>0</v>
      </c>
      <c r="F47" s="12">
        <f>SUMIFS(Table3[Result],Table3[Round],F$2,Table3[SI],$A47)</f>
        <v>0</v>
      </c>
      <c r="H47" s="34">
        <v>0</v>
      </c>
      <c r="I47" s="1">
        <f>COUNTIFS(Data_Planned!$B:$B, $A47, Data_Planned!$C:$C, I$2)</f>
        <v>1</v>
      </c>
      <c r="J47" s="1">
        <f>COUNTIFS(Data_Planned!$B:$B, $A47, Data_Planned!$C:$C, J$2)</f>
        <v>5</v>
      </c>
      <c r="K47" s="1">
        <f>COUNTIFS(Data_Planned!$B:$B, $A47, Data_Planned!$C:$C, K$2)</f>
        <v>1</v>
      </c>
      <c r="L47" s="35">
        <f>COUNTIFS(Data_Planned!$B:$B, $A47, Data_Planned!$C:$C, L$2)</f>
        <v>1</v>
      </c>
      <c r="N47" s="55">
        <f>SUMIFS(Data_Planned!$D:$D,Data_Planned!$C:$C,#REF!,Data_Planned!$B:$B,$A47)</f>
        <v>0</v>
      </c>
      <c r="O47" s="42">
        <f>SUMIFS(Data_Planned!$D:$D,Data_Planned!$C:$C,O$2,Data_Planned!$B:$B,$A47)</f>
        <v>20.56</v>
      </c>
      <c r="P47" s="42">
        <f>SUMIFS(Data_Planned!$D:$D,Data_Planned!$C:$C,P$2,Data_Planned!$B:$B,$A47)</f>
        <v>8761</v>
      </c>
      <c r="Q47" s="42">
        <f>SUMIFS(Data_Planned!$D:$D,Data_Planned!$C:$C,Q$2,Data_Planned!$B:$B,$A47)</f>
        <v>0</v>
      </c>
      <c r="R47" s="56">
        <f>SUMIFS(Data_Planned!$D:$D,Data_Planned!$C:$C,R$2,Data_Planned!$B:$B,$A47)</f>
        <v>658000</v>
      </c>
    </row>
    <row r="48" spans="1:18" ht="14.25" customHeight="1" x14ac:dyDescent="0.2">
      <c r="A48" s="61" t="s">
        <v>259</v>
      </c>
      <c r="B48" s="10">
        <f>SUMIFS(Table3[Result],Table3[Round],B$2,Table3[SI],$A48)</f>
        <v>0</v>
      </c>
      <c r="C48" s="11">
        <f>SUMIFS(Table3[Result],Table3[Round],C$2,Table3[SI],$A48)</f>
        <v>0</v>
      </c>
      <c r="D48" s="11">
        <f>SUMIFS(Table3[Result],Table3[Round],D$2,Table3[SI],$A48)</f>
        <v>0</v>
      </c>
      <c r="E48" s="11">
        <f>SUMIFS(Table3[Result],Table3[Round],E$2,Table3[SI],$A48)</f>
        <v>0</v>
      </c>
      <c r="F48" s="12">
        <f>SUMIFS(Table3[Result],Table3[Round],F$2,Table3[SI],$A48)</f>
        <v>0</v>
      </c>
      <c r="H48" s="34">
        <v>0</v>
      </c>
      <c r="I48" s="1">
        <f>COUNTIFS(Data_Planned!$B:$B, $A48, Data_Planned!$C:$C, I$2)</f>
        <v>0</v>
      </c>
      <c r="J48" s="1">
        <f>COUNTIFS(Data_Planned!$B:$B, $A48, Data_Planned!$C:$C, J$2)</f>
        <v>0</v>
      </c>
      <c r="K48" s="1">
        <f>COUNTIFS(Data_Planned!$B:$B, $A48, Data_Planned!$C:$C, K$2)</f>
        <v>1</v>
      </c>
      <c r="L48" s="35">
        <f>COUNTIFS(Data_Planned!$B:$B, $A48, Data_Planned!$C:$C, L$2)</f>
        <v>1</v>
      </c>
      <c r="N48" s="55">
        <f>SUMIFS(Data_Planned!$D:$D,Data_Planned!$C:$C,#REF!,Data_Planned!$B:$B,$A48)</f>
        <v>0</v>
      </c>
      <c r="O48" s="42">
        <f>SUMIFS(Data_Planned!$D:$D,Data_Planned!$C:$C,O$2,Data_Planned!$B:$B,$A48)</f>
        <v>0</v>
      </c>
      <c r="P48" s="42">
        <f>SUMIFS(Data_Planned!$D:$D,Data_Planned!$C:$C,P$2,Data_Planned!$B:$B,$A48)</f>
        <v>0</v>
      </c>
      <c r="Q48" s="42">
        <f>SUMIFS(Data_Planned!$D:$D,Data_Planned!$C:$C,Q$2,Data_Planned!$B:$B,$A48)</f>
        <v>0</v>
      </c>
      <c r="R48" s="56">
        <f>SUMIFS(Data_Planned!$D:$D,Data_Planned!$C:$C,R$2,Data_Planned!$B:$B,$A48)</f>
        <v>0</v>
      </c>
    </row>
    <row r="49" spans="1:18" ht="14.25" customHeight="1" x14ac:dyDescent="0.2">
      <c r="A49" s="61" t="s">
        <v>261</v>
      </c>
      <c r="B49" s="10">
        <f>SUMIFS(Table3[Result],Table3[Round],B$2,Table3[SI],$A49)</f>
        <v>0</v>
      </c>
      <c r="C49" s="11">
        <f>SUMIFS(Table3[Result],Table3[Round],C$2,Table3[SI],$A49)</f>
        <v>0</v>
      </c>
      <c r="D49" s="11">
        <f>SUMIFS(Table3[Result],Table3[Round],D$2,Table3[SI],$A49)</f>
        <v>0</v>
      </c>
      <c r="E49" s="11">
        <f>SUMIFS(Table3[Result],Table3[Round],E$2,Table3[SI],$A49)</f>
        <v>1</v>
      </c>
      <c r="F49" s="12">
        <f>SUMIFS(Table3[Result],Table3[Round],F$2,Table3[SI],$A49)</f>
        <v>0</v>
      </c>
      <c r="H49" s="34">
        <v>0</v>
      </c>
      <c r="I49" s="1">
        <f>COUNTIFS(Data_Planned!$B:$B, $A49, Data_Planned!$C:$C, I$2)</f>
        <v>1</v>
      </c>
      <c r="J49" s="1">
        <f>COUNTIFS(Data_Planned!$B:$B, $A49, Data_Planned!$C:$C, J$2)</f>
        <v>1</v>
      </c>
      <c r="K49" s="1">
        <f>COUNTIFS(Data_Planned!$B:$B, $A49, Data_Planned!$C:$C, K$2)</f>
        <v>3</v>
      </c>
      <c r="L49" s="35">
        <f>COUNTIFS(Data_Planned!$B:$B, $A49, Data_Planned!$C:$C, L$2)</f>
        <v>1</v>
      </c>
      <c r="N49" s="55">
        <f>SUMIFS(Data_Planned!$D:$D,Data_Planned!$C:$C,#REF!,Data_Planned!$B:$B,$A49)</f>
        <v>0</v>
      </c>
      <c r="O49" s="42">
        <f>SUMIFS(Data_Planned!$D:$D,Data_Planned!$C:$C,O$2,Data_Planned!$B:$B,$A49)</f>
        <v>2</v>
      </c>
      <c r="P49" s="42">
        <f>SUMIFS(Data_Planned!$D:$D,Data_Planned!$C:$C,P$2,Data_Planned!$B:$B,$A49)</f>
        <v>1</v>
      </c>
      <c r="Q49" s="42">
        <f>SUMIFS(Data_Planned!$D:$D,Data_Planned!$C:$C,Q$2,Data_Planned!$B:$B,$A49)</f>
        <v>3</v>
      </c>
      <c r="R49" s="56">
        <f>SUMIFS(Data_Planned!$D:$D,Data_Planned!$C:$C,R$2,Data_Planned!$B:$B,$A49)</f>
        <v>6</v>
      </c>
    </row>
    <row r="50" spans="1:18" ht="14.25" customHeight="1" x14ac:dyDescent="0.2">
      <c r="A50" s="61" t="s">
        <v>263</v>
      </c>
      <c r="B50" s="10">
        <f>SUMIFS(Table3[Result],Table3[Round],B$2,Table3[SI],$A50)</f>
        <v>0</v>
      </c>
      <c r="C50" s="11">
        <f>SUMIFS(Table3[Result],Table3[Round],C$2,Table3[SI],$A50)</f>
        <v>0</v>
      </c>
      <c r="D50" s="11">
        <f>SUMIFS(Table3[Result],Table3[Round],D$2,Table3[SI],$A50)</f>
        <v>0</v>
      </c>
      <c r="E50" s="11">
        <f>SUMIFS(Table3[Result],Table3[Round],E$2,Table3[SI],$A50)</f>
        <v>0</v>
      </c>
      <c r="F50" s="12">
        <f>SUMIFS(Table3[Result],Table3[Round],F$2,Table3[SI],$A50)</f>
        <v>0</v>
      </c>
      <c r="H50" s="34">
        <v>0</v>
      </c>
      <c r="I50" s="1">
        <f>COUNTIFS(Data_Planned!$B:$B, $A50, Data_Planned!$C:$C, I$2)</f>
        <v>0</v>
      </c>
      <c r="J50" s="1">
        <f>COUNTIFS(Data_Planned!$B:$B, $A50, Data_Planned!$C:$C, J$2)</f>
        <v>0</v>
      </c>
      <c r="K50" s="1">
        <f>COUNTIFS(Data_Planned!$B:$B, $A50, Data_Planned!$C:$C, K$2)</f>
        <v>2</v>
      </c>
      <c r="L50" s="35">
        <f>COUNTIFS(Data_Planned!$B:$B, $A50, Data_Planned!$C:$C, L$2)</f>
        <v>3</v>
      </c>
      <c r="N50" s="55">
        <f>SUMIFS(Data_Planned!$D:$D,Data_Planned!$C:$C,#REF!,Data_Planned!$B:$B,$A50)</f>
        <v>0</v>
      </c>
      <c r="O50" s="42">
        <f>SUMIFS(Data_Planned!$D:$D,Data_Planned!$C:$C,O$2,Data_Planned!$B:$B,$A50)</f>
        <v>0</v>
      </c>
      <c r="P50" s="42">
        <f>SUMIFS(Data_Planned!$D:$D,Data_Planned!$C:$C,P$2,Data_Planned!$B:$B,$A50)</f>
        <v>0</v>
      </c>
      <c r="Q50" s="42">
        <f>SUMIFS(Data_Planned!$D:$D,Data_Planned!$C:$C,Q$2,Data_Planned!$B:$B,$A50)</f>
        <v>2</v>
      </c>
      <c r="R50" s="56">
        <f>SUMIFS(Data_Planned!$D:$D,Data_Planned!$C:$C,R$2,Data_Planned!$B:$B,$A50)</f>
        <v>30</v>
      </c>
    </row>
    <row r="51" spans="1:18" ht="14.25" customHeight="1" x14ac:dyDescent="0.2">
      <c r="A51" s="61" t="s">
        <v>265</v>
      </c>
      <c r="B51" s="10">
        <f>SUMIFS(Table3[Result],Table3[Round],B$2,Table3[SI],$A51)</f>
        <v>0</v>
      </c>
      <c r="C51" s="11">
        <f>SUMIFS(Table3[Result],Table3[Round],C$2,Table3[SI],$A51)</f>
        <v>0</v>
      </c>
      <c r="D51" s="11">
        <f>SUMIFS(Table3[Result],Table3[Round],D$2,Table3[SI],$A51)</f>
        <v>0</v>
      </c>
      <c r="E51" s="11">
        <f>SUMIFS(Table3[Result],Table3[Round],E$2,Table3[SI],$A51)</f>
        <v>0</v>
      </c>
      <c r="F51" s="12">
        <f>SUMIFS(Table3[Result],Table3[Round],F$2,Table3[SI],$A51)</f>
        <v>0</v>
      </c>
      <c r="H51" s="34">
        <v>0</v>
      </c>
      <c r="I51" s="1">
        <f>COUNTIFS(Data_Planned!$B:$B, $A51, Data_Planned!$C:$C, I$2)</f>
        <v>0</v>
      </c>
      <c r="J51" s="1">
        <f>COUNTIFS(Data_Planned!$B:$B, $A51, Data_Planned!$C:$C, J$2)</f>
        <v>0</v>
      </c>
      <c r="K51" s="1">
        <f>COUNTIFS(Data_Planned!$B:$B, $A51, Data_Planned!$C:$C, K$2)</f>
        <v>0</v>
      </c>
      <c r="L51" s="35">
        <f>COUNTIFS(Data_Planned!$B:$B, $A51, Data_Planned!$C:$C, L$2)</f>
        <v>0</v>
      </c>
      <c r="N51" s="55">
        <f>SUMIFS(Data_Planned!$D:$D,Data_Planned!$C:$C,#REF!,Data_Planned!$B:$B,$A51)</f>
        <v>0</v>
      </c>
      <c r="O51" s="42">
        <f>SUMIFS(Data_Planned!$D:$D,Data_Planned!$C:$C,O$2,Data_Planned!$B:$B,$A51)</f>
        <v>0</v>
      </c>
      <c r="P51" s="42">
        <f>SUMIFS(Data_Planned!$D:$D,Data_Planned!$C:$C,P$2,Data_Planned!$B:$B,$A51)</f>
        <v>0</v>
      </c>
      <c r="Q51" s="42">
        <f>SUMIFS(Data_Planned!$D:$D,Data_Planned!$C:$C,Q$2,Data_Planned!$B:$B,$A51)</f>
        <v>0</v>
      </c>
      <c r="R51" s="56">
        <f>SUMIFS(Data_Planned!$D:$D,Data_Planned!$C:$C,R$2,Data_Planned!$B:$B,$A51)</f>
        <v>0</v>
      </c>
    </row>
    <row r="52" spans="1:18" ht="14.25" customHeight="1" x14ac:dyDescent="0.2">
      <c r="A52" s="61" t="s">
        <v>267</v>
      </c>
      <c r="B52" s="10">
        <f>SUMIFS(Table3[Result],Table3[Round],B$2,Table3[SI],$A52)</f>
        <v>0</v>
      </c>
      <c r="C52" s="11">
        <f>SUMIFS(Table3[Result],Table3[Round],C$2,Table3[SI],$A52)</f>
        <v>0</v>
      </c>
      <c r="D52" s="11">
        <f>SUMIFS(Table3[Result],Table3[Round],D$2,Table3[SI],$A52)</f>
        <v>0</v>
      </c>
      <c r="E52" s="11">
        <f>SUMIFS(Table3[Result],Table3[Round],E$2,Table3[SI],$A52)</f>
        <v>0</v>
      </c>
      <c r="F52" s="12">
        <f>SUMIFS(Table3[Result],Table3[Round],F$2,Table3[SI],$A52)</f>
        <v>0</v>
      </c>
      <c r="H52" s="34">
        <v>0</v>
      </c>
      <c r="I52" s="1">
        <f>COUNTIFS(Data_Planned!$B:$B, $A52, Data_Planned!$C:$C, I$2)</f>
        <v>0</v>
      </c>
      <c r="J52" s="1">
        <f>COUNTIFS(Data_Planned!$B:$B, $A52, Data_Planned!$C:$C, J$2)</f>
        <v>0</v>
      </c>
      <c r="K52" s="1">
        <f>COUNTIFS(Data_Planned!$B:$B, $A52, Data_Planned!$C:$C, K$2)</f>
        <v>0</v>
      </c>
      <c r="L52" s="35">
        <f>COUNTIFS(Data_Planned!$B:$B, $A52, Data_Planned!$C:$C, L$2)</f>
        <v>0</v>
      </c>
      <c r="N52" s="55">
        <f>SUMIFS(Data_Planned!$D:$D,Data_Planned!$C:$C,#REF!,Data_Planned!$B:$B,$A52)</f>
        <v>0</v>
      </c>
      <c r="O52" s="42">
        <f>SUMIFS(Data_Planned!$D:$D,Data_Planned!$C:$C,O$2,Data_Planned!$B:$B,$A52)</f>
        <v>0</v>
      </c>
      <c r="P52" s="42">
        <f>SUMIFS(Data_Planned!$D:$D,Data_Planned!$C:$C,P$2,Data_Planned!$B:$B,$A52)</f>
        <v>0</v>
      </c>
      <c r="Q52" s="42">
        <f>SUMIFS(Data_Planned!$D:$D,Data_Planned!$C:$C,Q$2,Data_Planned!$B:$B,$A52)</f>
        <v>0</v>
      </c>
      <c r="R52" s="56">
        <f>SUMIFS(Data_Planned!$D:$D,Data_Planned!$C:$C,R$2,Data_Planned!$B:$B,$A52)</f>
        <v>0</v>
      </c>
    </row>
    <row r="53" spans="1:18" ht="14.25" customHeight="1" x14ac:dyDescent="0.2">
      <c r="A53" s="61" t="s">
        <v>269</v>
      </c>
      <c r="B53" s="10">
        <f>SUMIFS(Table3[Result],Table3[Round],B$2,Table3[SI],$A53)</f>
        <v>0</v>
      </c>
      <c r="C53" s="11">
        <f>SUMIFS(Table3[Result],Table3[Round],C$2,Table3[SI],$A53)</f>
        <v>0</v>
      </c>
      <c r="D53" s="11">
        <f>SUMIFS(Table3[Result],Table3[Round],D$2,Table3[SI],$A53)</f>
        <v>0</v>
      </c>
      <c r="E53" s="11">
        <f>SUMIFS(Table3[Result],Table3[Round],E$2,Table3[SI],$A53)</f>
        <v>0</v>
      </c>
      <c r="F53" s="12">
        <f>SUMIFS(Table3[Result],Table3[Round],F$2,Table3[SI],$A53)</f>
        <v>0</v>
      </c>
      <c r="H53" s="34">
        <v>0</v>
      </c>
      <c r="I53" s="1">
        <f>COUNTIFS(Data_Planned!$B:$B, $A53, Data_Planned!$C:$C, I$2)</f>
        <v>0</v>
      </c>
      <c r="J53" s="1">
        <f>COUNTIFS(Data_Planned!$B:$B, $A53, Data_Planned!$C:$C, J$2)</f>
        <v>0</v>
      </c>
      <c r="K53" s="1">
        <f>COUNTIFS(Data_Planned!$B:$B, $A53, Data_Planned!$C:$C, K$2)</f>
        <v>0</v>
      </c>
      <c r="L53" s="35">
        <f>COUNTIFS(Data_Planned!$B:$B, $A53, Data_Planned!$C:$C, L$2)</f>
        <v>0</v>
      </c>
      <c r="N53" s="55">
        <f>SUMIFS(Data_Planned!$D:$D,Data_Planned!$C:$C,#REF!,Data_Planned!$B:$B,$A53)</f>
        <v>0</v>
      </c>
      <c r="O53" s="42">
        <f>SUMIFS(Data_Planned!$D:$D,Data_Planned!$C:$C,O$2,Data_Planned!$B:$B,$A53)</f>
        <v>0</v>
      </c>
      <c r="P53" s="42">
        <f>SUMIFS(Data_Planned!$D:$D,Data_Planned!$C:$C,P$2,Data_Planned!$B:$B,$A53)</f>
        <v>0</v>
      </c>
      <c r="Q53" s="42">
        <f>SUMIFS(Data_Planned!$D:$D,Data_Planned!$C:$C,Q$2,Data_Planned!$B:$B,$A53)</f>
        <v>0</v>
      </c>
      <c r="R53" s="56">
        <f>SUMIFS(Data_Planned!$D:$D,Data_Planned!$C:$C,R$2,Data_Planned!$B:$B,$A53)</f>
        <v>0</v>
      </c>
    </row>
    <row r="54" spans="1:18" ht="14.25" customHeight="1" x14ac:dyDescent="0.2">
      <c r="A54" s="61" t="s">
        <v>271</v>
      </c>
      <c r="B54" s="10">
        <f>SUMIFS(Table3[Result],Table3[Round],B$2,Table3[SI],$A54)</f>
        <v>0</v>
      </c>
      <c r="C54" s="11">
        <f>SUMIFS(Table3[Result],Table3[Round],C$2,Table3[SI],$A54)</f>
        <v>0</v>
      </c>
      <c r="D54" s="11">
        <f>SUMIFS(Table3[Result],Table3[Round],D$2,Table3[SI],$A54)</f>
        <v>0</v>
      </c>
      <c r="E54" s="11">
        <f>SUMIFS(Table3[Result],Table3[Round],E$2,Table3[SI],$A54)</f>
        <v>0</v>
      </c>
      <c r="F54" s="12">
        <f>SUMIFS(Table3[Result],Table3[Round],F$2,Table3[SI],$A54)</f>
        <v>0</v>
      </c>
      <c r="H54" s="34">
        <v>0</v>
      </c>
      <c r="I54" s="1">
        <f>COUNTIFS(Data_Planned!$B:$B, $A54, Data_Planned!$C:$C, I$2)</f>
        <v>0</v>
      </c>
      <c r="J54" s="1">
        <f>COUNTIFS(Data_Planned!$B:$B, $A54, Data_Planned!$C:$C, J$2)</f>
        <v>0</v>
      </c>
      <c r="K54" s="1">
        <f>COUNTIFS(Data_Planned!$B:$B, $A54, Data_Planned!$C:$C, K$2)</f>
        <v>0</v>
      </c>
      <c r="L54" s="35">
        <f>COUNTIFS(Data_Planned!$B:$B, $A54, Data_Planned!$C:$C, L$2)</f>
        <v>0</v>
      </c>
      <c r="N54" s="55">
        <f>SUMIFS(Data_Planned!$D:$D,Data_Planned!$C:$C,#REF!,Data_Planned!$B:$B,$A54)</f>
        <v>0</v>
      </c>
      <c r="O54" s="42">
        <f>SUMIFS(Data_Planned!$D:$D,Data_Planned!$C:$C,O$2,Data_Planned!$B:$B,$A54)</f>
        <v>0</v>
      </c>
      <c r="P54" s="42">
        <f>SUMIFS(Data_Planned!$D:$D,Data_Planned!$C:$C,P$2,Data_Planned!$B:$B,$A54)</f>
        <v>0</v>
      </c>
      <c r="Q54" s="42">
        <f>SUMIFS(Data_Planned!$D:$D,Data_Planned!$C:$C,Q$2,Data_Planned!$B:$B,$A54)</f>
        <v>0</v>
      </c>
      <c r="R54" s="56">
        <f>SUMIFS(Data_Planned!$D:$D,Data_Planned!$C:$C,R$2,Data_Planned!$B:$B,$A54)</f>
        <v>0</v>
      </c>
    </row>
    <row r="55" spans="1:18" ht="14.25" customHeight="1" x14ac:dyDescent="0.2">
      <c r="A55" s="61" t="s">
        <v>273</v>
      </c>
      <c r="B55" s="10">
        <f>SUMIFS(Table3[Result],Table3[Round],B$2,Table3[SI],$A55)</f>
        <v>0</v>
      </c>
      <c r="C55" s="11">
        <f>SUMIFS(Table3[Result],Table3[Round],C$2,Table3[SI],$A55)</f>
        <v>0</v>
      </c>
      <c r="D55" s="11">
        <f>SUMIFS(Table3[Result],Table3[Round],D$2,Table3[SI],$A55)</f>
        <v>0</v>
      </c>
      <c r="E55" s="11">
        <f>SUMIFS(Table3[Result],Table3[Round],E$2,Table3[SI],$A55)</f>
        <v>0</v>
      </c>
      <c r="F55" s="12">
        <f>SUMIFS(Table3[Result],Table3[Round],F$2,Table3[SI],$A55)</f>
        <v>0</v>
      </c>
      <c r="H55" s="34">
        <v>0</v>
      </c>
      <c r="I55" s="1">
        <f>COUNTIFS(Data_Planned!$B:$B, $A55, Data_Planned!$C:$C, I$2)</f>
        <v>0</v>
      </c>
      <c r="J55" s="1">
        <f>COUNTIFS(Data_Planned!$B:$B, $A55, Data_Planned!$C:$C, J$2)</f>
        <v>0</v>
      </c>
      <c r="K55" s="1">
        <f>COUNTIFS(Data_Planned!$B:$B, $A55, Data_Planned!$C:$C, K$2)</f>
        <v>0</v>
      </c>
      <c r="L55" s="35">
        <f>COUNTIFS(Data_Planned!$B:$B, $A55, Data_Planned!$C:$C, L$2)</f>
        <v>0</v>
      </c>
      <c r="N55" s="55">
        <f>SUMIFS(Data_Planned!$D:$D,Data_Planned!$C:$C,#REF!,Data_Planned!$B:$B,$A55)</f>
        <v>0</v>
      </c>
      <c r="O55" s="42">
        <f>SUMIFS(Data_Planned!$D:$D,Data_Planned!$C:$C,O$2,Data_Planned!$B:$B,$A55)</f>
        <v>0</v>
      </c>
      <c r="P55" s="42">
        <f>SUMIFS(Data_Planned!$D:$D,Data_Planned!$C:$C,P$2,Data_Planned!$B:$B,$A55)</f>
        <v>0</v>
      </c>
      <c r="Q55" s="42">
        <f>SUMIFS(Data_Planned!$D:$D,Data_Planned!$C:$C,Q$2,Data_Planned!$B:$B,$A55)</f>
        <v>0</v>
      </c>
      <c r="R55" s="56">
        <f>SUMIFS(Data_Planned!$D:$D,Data_Planned!$C:$C,R$2,Data_Planned!$B:$B,$A55)</f>
        <v>0</v>
      </c>
    </row>
    <row r="56" spans="1:18" ht="14.25" customHeight="1" x14ac:dyDescent="0.2">
      <c r="A56" s="61" t="s">
        <v>275</v>
      </c>
      <c r="B56" s="10">
        <f>SUMIFS(Table3[Result],Table3[Round],B$2,Table3[SI],$A56)</f>
        <v>0</v>
      </c>
      <c r="C56" s="11">
        <f>SUMIFS(Table3[Result],Table3[Round],C$2,Table3[SI],$A56)</f>
        <v>0</v>
      </c>
      <c r="D56" s="11">
        <f>SUMIFS(Table3[Result],Table3[Round],D$2,Table3[SI],$A56)</f>
        <v>0</v>
      </c>
      <c r="E56" s="11">
        <f>SUMIFS(Table3[Result],Table3[Round],E$2,Table3[SI],$A56)</f>
        <v>0</v>
      </c>
      <c r="F56" s="12">
        <f>SUMIFS(Table3[Result],Table3[Round],F$2,Table3[SI],$A56)</f>
        <v>0</v>
      </c>
      <c r="H56" s="34">
        <v>0</v>
      </c>
      <c r="I56" s="1">
        <f>COUNTIFS(Data_Planned!$B:$B, $A56, Data_Planned!$C:$C, I$2)</f>
        <v>0</v>
      </c>
      <c r="J56" s="1">
        <f>COUNTIFS(Data_Planned!$B:$B, $A56, Data_Planned!$C:$C, J$2)</f>
        <v>0</v>
      </c>
      <c r="K56" s="1">
        <f>COUNTIFS(Data_Planned!$B:$B, $A56, Data_Planned!$C:$C, K$2)</f>
        <v>0</v>
      </c>
      <c r="L56" s="35">
        <f>COUNTIFS(Data_Planned!$B:$B, $A56, Data_Planned!$C:$C, L$2)</f>
        <v>0</v>
      </c>
      <c r="N56" s="55">
        <f>SUMIFS(Data_Planned!$D:$D,Data_Planned!$C:$C,#REF!,Data_Planned!$B:$B,$A56)</f>
        <v>0</v>
      </c>
      <c r="O56" s="42">
        <f>SUMIFS(Data_Planned!$D:$D,Data_Planned!$C:$C,O$2,Data_Planned!$B:$B,$A56)</f>
        <v>0</v>
      </c>
      <c r="P56" s="42">
        <f>SUMIFS(Data_Planned!$D:$D,Data_Planned!$C:$C,P$2,Data_Planned!$B:$B,$A56)</f>
        <v>0</v>
      </c>
      <c r="Q56" s="42">
        <f>SUMIFS(Data_Planned!$D:$D,Data_Planned!$C:$C,Q$2,Data_Planned!$B:$B,$A56)</f>
        <v>0</v>
      </c>
      <c r="R56" s="56">
        <f>SUMIFS(Data_Planned!$D:$D,Data_Planned!$C:$C,R$2,Data_Planned!$B:$B,$A56)</f>
        <v>0</v>
      </c>
    </row>
    <row r="57" spans="1:18" ht="14.25" customHeight="1" x14ac:dyDescent="0.2">
      <c r="A57" s="61" t="s">
        <v>277</v>
      </c>
      <c r="B57" s="10">
        <f>SUMIFS(Table3[Result],Table3[Round],B$2,Table3[SI],$A57)</f>
        <v>0</v>
      </c>
      <c r="C57" s="11">
        <f>SUMIFS(Table3[Result],Table3[Round],C$2,Table3[SI],$A57)</f>
        <v>0</v>
      </c>
      <c r="D57" s="11">
        <f>SUMIFS(Table3[Result],Table3[Round],D$2,Table3[SI],$A57)</f>
        <v>0</v>
      </c>
      <c r="E57" s="11">
        <f>SUMIFS(Table3[Result],Table3[Round],E$2,Table3[SI],$A57)</f>
        <v>0</v>
      </c>
      <c r="F57" s="12">
        <f>SUMIFS(Table3[Result],Table3[Round],F$2,Table3[SI],$A57)</f>
        <v>0</v>
      </c>
      <c r="H57" s="34">
        <v>0</v>
      </c>
      <c r="I57" s="1">
        <f>COUNTIFS(Data_Planned!$B:$B, $A57, Data_Planned!$C:$C, I$2)</f>
        <v>0</v>
      </c>
      <c r="J57" s="1">
        <f>COUNTIFS(Data_Planned!$B:$B, $A57, Data_Planned!$C:$C, J$2)</f>
        <v>0</v>
      </c>
      <c r="K57" s="1">
        <f>COUNTIFS(Data_Planned!$B:$B, $A57, Data_Planned!$C:$C, K$2)</f>
        <v>0</v>
      </c>
      <c r="L57" s="35">
        <f>COUNTIFS(Data_Planned!$B:$B, $A57, Data_Planned!$C:$C, L$2)</f>
        <v>1</v>
      </c>
      <c r="N57" s="55">
        <f>SUMIFS(Data_Planned!$D:$D,Data_Planned!$C:$C,#REF!,Data_Planned!$B:$B,$A57)</f>
        <v>0</v>
      </c>
      <c r="O57" s="42">
        <f>SUMIFS(Data_Planned!$D:$D,Data_Planned!$C:$C,O$2,Data_Planned!$B:$B,$A57)</f>
        <v>0</v>
      </c>
      <c r="P57" s="42">
        <f>SUMIFS(Data_Planned!$D:$D,Data_Planned!$C:$C,P$2,Data_Planned!$B:$B,$A57)</f>
        <v>0</v>
      </c>
      <c r="Q57" s="42">
        <f>SUMIFS(Data_Planned!$D:$D,Data_Planned!$C:$C,Q$2,Data_Planned!$B:$B,$A57)</f>
        <v>0</v>
      </c>
      <c r="R57" s="56">
        <f>SUMIFS(Data_Planned!$D:$D,Data_Planned!$C:$C,R$2,Data_Planned!$B:$B,$A57)</f>
        <v>21</v>
      </c>
    </row>
    <row r="58" spans="1:18" ht="14.25" customHeight="1" x14ac:dyDescent="0.2">
      <c r="A58" s="61" t="s">
        <v>279</v>
      </c>
      <c r="B58" s="10">
        <f>SUMIFS(Table3[Result],Table3[Round],B$2,Table3[SI],$A58)</f>
        <v>0</v>
      </c>
      <c r="C58" s="11">
        <f>SUMIFS(Table3[Result],Table3[Round],C$2,Table3[SI],$A58)</f>
        <v>0</v>
      </c>
      <c r="D58" s="11">
        <f>SUMIFS(Table3[Result],Table3[Round],D$2,Table3[SI],$A58)</f>
        <v>0</v>
      </c>
      <c r="E58" s="11">
        <f>SUMIFS(Table3[Result],Table3[Round],E$2,Table3[SI],$A58)</f>
        <v>1.08</v>
      </c>
      <c r="F58" s="12">
        <f>SUMIFS(Table3[Result],Table3[Round],F$2,Table3[SI],$A58)</f>
        <v>214</v>
      </c>
      <c r="H58" s="34">
        <v>0</v>
      </c>
      <c r="I58" s="1">
        <f>COUNTIFS(Data_Planned!$B:$B, $A58, Data_Planned!$C:$C, I$2)</f>
        <v>0</v>
      </c>
      <c r="J58" s="1">
        <f>COUNTIFS(Data_Planned!$B:$B, $A58, Data_Planned!$C:$C, J$2)</f>
        <v>0</v>
      </c>
      <c r="K58" s="1">
        <f>COUNTIFS(Data_Planned!$B:$B, $A58, Data_Planned!$C:$C, K$2)</f>
        <v>1</v>
      </c>
      <c r="L58" s="35">
        <f>COUNTIFS(Data_Planned!$B:$B, $A58, Data_Planned!$C:$C, L$2)</f>
        <v>4</v>
      </c>
      <c r="N58" s="55">
        <f>SUMIFS(Data_Planned!$D:$D,Data_Planned!$C:$C,#REF!,Data_Planned!$B:$B,$A58)</f>
        <v>0</v>
      </c>
      <c r="O58" s="42">
        <f>SUMIFS(Data_Planned!$D:$D,Data_Planned!$C:$C,O$2,Data_Planned!$B:$B,$A58)</f>
        <v>0</v>
      </c>
      <c r="P58" s="42">
        <f>SUMIFS(Data_Planned!$D:$D,Data_Planned!$C:$C,P$2,Data_Planned!$B:$B,$A58)</f>
        <v>0</v>
      </c>
      <c r="Q58" s="42">
        <f>SUMIFS(Data_Planned!$D:$D,Data_Planned!$C:$C,Q$2,Data_Planned!$B:$B,$A58)</f>
        <v>1.62</v>
      </c>
      <c r="R58" s="56">
        <f>SUMIFS(Data_Planned!$D:$D,Data_Planned!$C:$C,R$2,Data_Planned!$B:$B,$A58)</f>
        <v>318</v>
      </c>
    </row>
    <row r="59" spans="1:18" ht="14.25" customHeight="1" x14ac:dyDescent="0.2">
      <c r="A59" s="61" t="s">
        <v>281</v>
      </c>
      <c r="B59" s="10">
        <f>SUMIFS(Table3[Result],Table3[Round],B$2,Table3[SI],$A59)</f>
        <v>0</v>
      </c>
      <c r="C59" s="11">
        <f>SUMIFS(Table3[Result],Table3[Round],C$2,Table3[SI],$A59)</f>
        <v>0</v>
      </c>
      <c r="D59" s="11">
        <f>SUMIFS(Table3[Result],Table3[Round],D$2,Table3[SI],$A59)</f>
        <v>0</v>
      </c>
      <c r="E59" s="11">
        <f>SUMIFS(Table3[Result],Table3[Round],E$2,Table3[SI],$A59)</f>
        <v>0</v>
      </c>
      <c r="F59" s="12">
        <f>SUMIFS(Table3[Result],Table3[Round],F$2,Table3[SI],$A59)</f>
        <v>0</v>
      </c>
      <c r="H59" s="34">
        <v>0</v>
      </c>
      <c r="I59" s="1">
        <f>COUNTIFS(Data_Planned!$B:$B, $A59, Data_Planned!$C:$C, I$2)</f>
        <v>0</v>
      </c>
      <c r="J59" s="1">
        <f>COUNTIFS(Data_Planned!$B:$B, $A59, Data_Planned!$C:$C, J$2)</f>
        <v>0</v>
      </c>
      <c r="K59" s="1">
        <f>COUNTIFS(Data_Planned!$B:$B, $A59, Data_Planned!$C:$C, K$2)</f>
        <v>0</v>
      </c>
      <c r="L59" s="35">
        <f>COUNTIFS(Data_Planned!$B:$B, $A59, Data_Planned!$C:$C, L$2)</f>
        <v>0</v>
      </c>
      <c r="N59" s="55">
        <f>SUMIFS(Data_Planned!$D:$D,Data_Planned!$C:$C,#REF!,Data_Planned!$B:$B,$A59)</f>
        <v>0</v>
      </c>
      <c r="O59" s="42">
        <f>SUMIFS(Data_Planned!$D:$D,Data_Planned!$C:$C,O$2,Data_Planned!$B:$B,$A59)</f>
        <v>0</v>
      </c>
      <c r="P59" s="42">
        <f>SUMIFS(Data_Planned!$D:$D,Data_Planned!$C:$C,P$2,Data_Planned!$B:$B,$A59)</f>
        <v>0</v>
      </c>
      <c r="Q59" s="42">
        <f>SUMIFS(Data_Planned!$D:$D,Data_Planned!$C:$C,Q$2,Data_Planned!$B:$B,$A59)</f>
        <v>0</v>
      </c>
      <c r="R59" s="56">
        <f>SUMIFS(Data_Planned!$D:$D,Data_Planned!$C:$C,R$2,Data_Planned!$B:$B,$A59)</f>
        <v>0</v>
      </c>
    </row>
    <row r="60" spans="1:18" ht="14.25" customHeight="1" x14ac:dyDescent="0.2">
      <c r="A60" s="61" t="s">
        <v>283</v>
      </c>
      <c r="B60" s="10">
        <f>SUMIFS(Table3[Result],Table3[Round],B$2,Table3[SI],$A60)</f>
        <v>0</v>
      </c>
      <c r="C60" s="11">
        <f>SUMIFS(Table3[Result],Table3[Round],C$2,Table3[SI],$A60)</f>
        <v>0</v>
      </c>
      <c r="D60" s="11">
        <f>SUMIFS(Table3[Result],Table3[Round],D$2,Table3[SI],$A60)</f>
        <v>0</v>
      </c>
      <c r="E60" s="11">
        <f>SUMIFS(Table3[Result],Table3[Round],E$2,Table3[SI],$A60)</f>
        <v>0</v>
      </c>
      <c r="F60" s="12">
        <f>SUMIFS(Table3[Result],Table3[Round],F$2,Table3[SI],$A60)</f>
        <v>0</v>
      </c>
      <c r="H60" s="34">
        <v>0</v>
      </c>
      <c r="I60" s="1">
        <f>COUNTIFS(Data_Planned!$B:$B, $A60, Data_Planned!$C:$C, I$2)</f>
        <v>0</v>
      </c>
      <c r="J60" s="1">
        <f>COUNTIFS(Data_Planned!$B:$B, $A60, Data_Planned!$C:$C, J$2)</f>
        <v>0</v>
      </c>
      <c r="K60" s="1">
        <f>COUNTIFS(Data_Planned!$B:$B, $A60, Data_Planned!$C:$C, K$2)</f>
        <v>0</v>
      </c>
      <c r="L60" s="35">
        <f>COUNTIFS(Data_Planned!$B:$B, $A60, Data_Planned!$C:$C, L$2)</f>
        <v>0</v>
      </c>
      <c r="N60" s="55">
        <f>SUMIFS(Data_Planned!$D:$D,Data_Planned!$C:$C,#REF!,Data_Planned!$B:$B,$A60)</f>
        <v>0</v>
      </c>
      <c r="O60" s="42">
        <f>SUMIFS(Data_Planned!$D:$D,Data_Planned!$C:$C,O$2,Data_Planned!$B:$B,$A60)</f>
        <v>0</v>
      </c>
      <c r="P60" s="42">
        <f>SUMIFS(Data_Planned!$D:$D,Data_Planned!$C:$C,P$2,Data_Planned!$B:$B,$A60)</f>
        <v>0</v>
      </c>
      <c r="Q60" s="42">
        <f>SUMIFS(Data_Planned!$D:$D,Data_Planned!$C:$C,Q$2,Data_Planned!$B:$B,$A60)</f>
        <v>0</v>
      </c>
      <c r="R60" s="56">
        <f>SUMIFS(Data_Planned!$D:$D,Data_Planned!$C:$C,R$2,Data_Planned!$B:$B,$A60)</f>
        <v>0</v>
      </c>
    </row>
    <row r="61" spans="1:18" ht="14.25" customHeight="1" x14ac:dyDescent="0.2">
      <c r="A61" s="61" t="s">
        <v>285</v>
      </c>
      <c r="B61" s="10">
        <f>SUMIFS(Table3[Result],Table3[Round],B$2,Table3[SI],$A61)</f>
        <v>0</v>
      </c>
      <c r="C61" s="11">
        <f>SUMIFS(Table3[Result],Table3[Round],C$2,Table3[SI],$A61)</f>
        <v>0</v>
      </c>
      <c r="D61" s="11">
        <f>SUMIFS(Table3[Result],Table3[Round],D$2,Table3[SI],$A61)</f>
        <v>0</v>
      </c>
      <c r="E61" s="11">
        <f>SUMIFS(Table3[Result],Table3[Round],E$2,Table3[SI],$A61)</f>
        <v>0</v>
      </c>
      <c r="F61" s="12">
        <f>SUMIFS(Table3[Result],Table3[Round],F$2,Table3[SI],$A61)</f>
        <v>0</v>
      </c>
      <c r="H61" s="34">
        <v>0</v>
      </c>
      <c r="I61" s="1">
        <f>COUNTIFS(Data_Planned!$B:$B, $A61, Data_Planned!$C:$C, I$2)</f>
        <v>0</v>
      </c>
      <c r="J61" s="1">
        <f>COUNTIFS(Data_Planned!$B:$B, $A61, Data_Planned!$C:$C, J$2)</f>
        <v>0</v>
      </c>
      <c r="K61" s="1">
        <f>COUNTIFS(Data_Planned!$B:$B, $A61, Data_Planned!$C:$C, K$2)</f>
        <v>0</v>
      </c>
      <c r="L61" s="35">
        <f>COUNTIFS(Data_Planned!$B:$B, $A61, Data_Planned!$C:$C, L$2)</f>
        <v>0</v>
      </c>
      <c r="N61" s="55">
        <f>SUMIFS(Data_Planned!$D:$D,Data_Planned!$C:$C,#REF!,Data_Planned!$B:$B,$A61)</f>
        <v>0</v>
      </c>
      <c r="O61" s="42">
        <f>SUMIFS(Data_Planned!$D:$D,Data_Planned!$C:$C,O$2,Data_Planned!$B:$B,$A61)</f>
        <v>0</v>
      </c>
      <c r="P61" s="42">
        <f>SUMIFS(Data_Planned!$D:$D,Data_Planned!$C:$C,P$2,Data_Planned!$B:$B,$A61)</f>
        <v>0</v>
      </c>
      <c r="Q61" s="42">
        <f>SUMIFS(Data_Planned!$D:$D,Data_Planned!$C:$C,Q$2,Data_Planned!$B:$B,$A61)</f>
        <v>0</v>
      </c>
      <c r="R61" s="56">
        <f>SUMIFS(Data_Planned!$D:$D,Data_Planned!$C:$C,R$2,Data_Planned!$B:$B,$A61)</f>
        <v>0</v>
      </c>
    </row>
    <row r="62" spans="1:18" ht="14.25" customHeight="1" x14ac:dyDescent="0.2">
      <c r="A62" s="61" t="s">
        <v>287</v>
      </c>
      <c r="B62" s="10">
        <f>SUMIFS(Table3[Result],Table3[Round],B$2,Table3[SI],$A62)</f>
        <v>0</v>
      </c>
      <c r="C62" s="11">
        <f>SUMIFS(Table3[Result],Table3[Round],C$2,Table3[SI],$A62)</f>
        <v>0</v>
      </c>
      <c r="D62" s="11">
        <f>SUMIFS(Table3[Result],Table3[Round],D$2,Table3[SI],$A62)</f>
        <v>0</v>
      </c>
      <c r="E62" s="11">
        <f>SUMIFS(Table3[Result],Table3[Round],E$2,Table3[SI],$A62)</f>
        <v>0</v>
      </c>
      <c r="F62" s="12">
        <f>SUMIFS(Table3[Result],Table3[Round],F$2,Table3[SI],$A62)</f>
        <v>0</v>
      </c>
      <c r="H62" s="34">
        <v>0</v>
      </c>
      <c r="I62" s="1">
        <f>COUNTIFS(Data_Planned!$B:$B, $A62, Data_Planned!$C:$C, I$2)</f>
        <v>0</v>
      </c>
      <c r="J62" s="1">
        <f>COUNTIFS(Data_Planned!$B:$B, $A62, Data_Planned!$C:$C, J$2)</f>
        <v>0</v>
      </c>
      <c r="K62" s="1">
        <f>COUNTIFS(Data_Planned!$B:$B, $A62, Data_Planned!$C:$C, K$2)</f>
        <v>0</v>
      </c>
      <c r="L62" s="35">
        <f>COUNTIFS(Data_Planned!$B:$B, $A62, Data_Planned!$C:$C, L$2)</f>
        <v>1</v>
      </c>
      <c r="N62" s="55">
        <f>SUMIFS(Data_Planned!$D:$D,Data_Planned!$C:$C,#REF!,Data_Planned!$B:$B,$A62)</f>
        <v>0</v>
      </c>
      <c r="O62" s="42">
        <f>SUMIFS(Data_Planned!$D:$D,Data_Planned!$C:$C,O$2,Data_Planned!$B:$B,$A62)</f>
        <v>0</v>
      </c>
      <c r="P62" s="42">
        <f>SUMIFS(Data_Planned!$D:$D,Data_Planned!$C:$C,P$2,Data_Planned!$B:$B,$A62)</f>
        <v>0</v>
      </c>
      <c r="Q62" s="42">
        <f>SUMIFS(Data_Planned!$D:$D,Data_Planned!$C:$C,Q$2,Data_Planned!$B:$B,$A62)</f>
        <v>0</v>
      </c>
      <c r="R62" s="56">
        <f>SUMIFS(Data_Planned!$D:$D,Data_Planned!$C:$C,R$2,Data_Planned!$B:$B,$A62)</f>
        <v>5</v>
      </c>
    </row>
    <row r="63" spans="1:18" ht="14.25" customHeight="1" x14ac:dyDescent="0.2">
      <c r="A63" s="61"/>
      <c r="B63" s="10"/>
      <c r="C63" s="11"/>
      <c r="D63" s="11"/>
      <c r="E63" s="11"/>
      <c r="F63" s="12"/>
      <c r="H63" s="34"/>
      <c r="L63" s="35"/>
      <c r="N63" s="55"/>
      <c r="O63" s="42"/>
      <c r="P63" s="42"/>
      <c r="Q63" s="42"/>
      <c r="R63" s="56"/>
    </row>
    <row r="64" spans="1:18" ht="14.25" customHeight="1" x14ac:dyDescent="0.2">
      <c r="A64" s="61" t="s">
        <v>290</v>
      </c>
      <c r="B64" s="10">
        <f>SUMIFS(Table3[Result],Table3[Round],B$2,Table3[SI],$A64)</f>
        <v>0</v>
      </c>
      <c r="C64" s="11">
        <f>SUMIFS(Table3[Result],Table3[Round],C$2,Table3[SI],$A64)</f>
        <v>0</v>
      </c>
      <c r="D64" s="11">
        <f>SUMIFS(Table3[Result],Table3[Round],D$2,Table3[SI],$A64)</f>
        <v>0</v>
      </c>
      <c r="E64" s="11">
        <f>SUMIFS(Table3[Result],Table3[Round],E$2,Table3[SI],$A64)</f>
        <v>0</v>
      </c>
      <c r="F64" s="12">
        <f>SUMIFS(Table3[Result],Table3[Round],F$2,Table3[SI],$A64)</f>
        <v>0</v>
      </c>
      <c r="H64" s="34">
        <v>0</v>
      </c>
      <c r="I64" s="1">
        <f>COUNTIFS(Data_Planned!$B:$B, $A64, Data_Planned!$C:$C, I$2)</f>
        <v>0</v>
      </c>
      <c r="J64" s="1">
        <f>COUNTIFS(Data_Planned!$B:$B, $A64, Data_Planned!$C:$C, J$2)</f>
        <v>0</v>
      </c>
      <c r="K64" s="1">
        <f>COUNTIFS(Data_Planned!$B:$B, $A64, Data_Planned!$C:$C, K$2)</f>
        <v>0</v>
      </c>
      <c r="L64" s="35">
        <f>COUNTIFS(Data_Planned!$B:$B, $A64, Data_Planned!$C:$C, L$2)</f>
        <v>0</v>
      </c>
      <c r="N64" s="55">
        <f>SUMIFS(Data_Planned!$D:$D,Data_Planned!$C:$C,#REF!,Data_Planned!$B:$B,$A64)</f>
        <v>0</v>
      </c>
      <c r="O64" s="42">
        <f>SUMIFS(Data_Planned!$D:$D,Data_Planned!$C:$C,O$2,Data_Planned!$B:$B,$A64)</f>
        <v>0</v>
      </c>
      <c r="P64" s="42">
        <f>SUMIFS(Data_Planned!$D:$D,Data_Planned!$C:$C,P$2,Data_Planned!$B:$B,$A64)</f>
        <v>0</v>
      </c>
      <c r="Q64" s="42">
        <f>SUMIFS(Data_Planned!$D:$D,Data_Planned!$C:$C,Q$2,Data_Planned!$B:$B,$A64)</f>
        <v>0</v>
      </c>
      <c r="R64" s="56">
        <f>SUMIFS(Data_Planned!$D:$D,Data_Planned!$C:$C,R$2,Data_Planned!$B:$B,$A64)</f>
        <v>0</v>
      </c>
    </row>
    <row r="65" spans="1:18" ht="14.25" customHeight="1" x14ac:dyDescent="0.2">
      <c r="A65" s="61" t="s">
        <v>292</v>
      </c>
      <c r="B65" s="10">
        <f>SUMIFS(Table3[Result],Table3[Round],B$2,Table3[SI],$A65)</f>
        <v>0</v>
      </c>
      <c r="C65" s="11">
        <f>SUMIFS(Table3[Result],Table3[Round],C$2,Table3[SI],$A65)</f>
        <v>0</v>
      </c>
      <c r="D65" s="11">
        <f>SUMIFS(Table3[Result],Table3[Round],D$2,Table3[SI],$A65)</f>
        <v>0</v>
      </c>
      <c r="E65" s="11">
        <f>SUMIFS(Table3[Result],Table3[Round],E$2,Table3[SI],$A65)</f>
        <v>0</v>
      </c>
      <c r="F65" s="12">
        <f>SUMIFS(Table3[Result],Table3[Round],F$2,Table3[SI],$A65)</f>
        <v>0</v>
      </c>
      <c r="H65" s="34">
        <v>0</v>
      </c>
      <c r="I65" s="1">
        <f>COUNTIFS(Data_Planned!$B:$B, $A65, Data_Planned!$C:$C, I$2)</f>
        <v>0</v>
      </c>
      <c r="J65" s="1">
        <f>COUNTIFS(Data_Planned!$B:$B, $A65, Data_Planned!$C:$C, J$2)</f>
        <v>0</v>
      </c>
      <c r="K65" s="1">
        <f>COUNTIFS(Data_Planned!$B:$B, $A65, Data_Planned!$C:$C, K$2)</f>
        <v>0</v>
      </c>
      <c r="L65" s="35">
        <f>COUNTIFS(Data_Planned!$B:$B, $A65, Data_Planned!$C:$C, L$2)</f>
        <v>0</v>
      </c>
      <c r="N65" s="55">
        <f>SUMIFS(Data_Planned!$D:$D,Data_Planned!$C:$C,#REF!,Data_Planned!$B:$B,$A65)</f>
        <v>0</v>
      </c>
      <c r="O65" s="42">
        <f>SUMIFS(Data_Planned!$D:$D,Data_Planned!$C:$C,O$2,Data_Planned!$B:$B,$A65)</f>
        <v>0</v>
      </c>
      <c r="P65" s="42">
        <f>SUMIFS(Data_Planned!$D:$D,Data_Planned!$C:$C,P$2,Data_Planned!$B:$B,$A65)</f>
        <v>0</v>
      </c>
      <c r="Q65" s="42">
        <f>SUMIFS(Data_Planned!$D:$D,Data_Planned!$C:$C,Q$2,Data_Planned!$B:$B,$A65)</f>
        <v>0</v>
      </c>
      <c r="R65" s="56">
        <f>SUMIFS(Data_Planned!$D:$D,Data_Planned!$C:$C,R$2,Data_Planned!$B:$B,$A65)</f>
        <v>0</v>
      </c>
    </row>
    <row r="66" spans="1:18" ht="14.25" customHeight="1" x14ac:dyDescent="0.2">
      <c r="A66" s="62" t="s">
        <v>294</v>
      </c>
      <c r="B66" s="46">
        <f>SUMIFS(Table3[Result],Table3[Round],B$2,Table3[SI],$A66)</f>
        <v>0</v>
      </c>
      <c r="C66" s="47">
        <f>SUMIFS(Table3[Result],Table3[Round],C$2,Table3[SI],$A66)</f>
        <v>0</v>
      </c>
      <c r="D66" s="47">
        <f>SUMIFS(Table3[Result],Table3[Round],D$2,Table3[SI],$A66)</f>
        <v>0</v>
      </c>
      <c r="E66" s="47">
        <f>SUMIFS(Table3[Result],Table3[Round],E$2,Table3[SI],$A66)</f>
        <v>0</v>
      </c>
      <c r="F66" s="48">
        <f>SUMIFS(Table3[Result],Table3[Round],F$2,Table3[SI],$A66)</f>
        <v>0</v>
      </c>
      <c r="H66" s="36">
        <v>0</v>
      </c>
      <c r="I66" s="29">
        <f>COUNTIFS(Data_Planned!$B:$B, $A66, Data_Planned!$C:$C, I$2)</f>
        <v>0</v>
      </c>
      <c r="J66" s="29">
        <f>COUNTIFS(Data_Planned!$B:$B, $A66, Data_Planned!$C:$C, J$2)</f>
        <v>0</v>
      </c>
      <c r="K66" s="29">
        <f>COUNTIFS(Data_Planned!$B:$B, $A66, Data_Planned!$C:$C, K$2)</f>
        <v>1</v>
      </c>
      <c r="L66" s="37">
        <f>COUNTIFS(Data_Planned!$B:$B, $A66, Data_Planned!$C:$C, L$2)</f>
        <v>1</v>
      </c>
      <c r="N66" s="58">
        <f>SUMIFS(Data_Planned!$D:$D,Data_Planned!$C:$C,#REF!,Data_Planned!$B:$B,$A66)</f>
        <v>0</v>
      </c>
      <c r="O66" s="59">
        <f>SUMIFS(Data_Planned!$D:$D,Data_Planned!$C:$C,O$2,Data_Planned!$B:$B,$A66)</f>
        <v>0</v>
      </c>
      <c r="P66" s="59">
        <f>SUMIFS(Data_Planned!$D:$D,Data_Planned!$C:$C,P$2,Data_Planned!$B:$B,$A66)</f>
        <v>0</v>
      </c>
      <c r="Q66" s="59">
        <f>SUMIFS(Data_Planned!$D:$D,Data_Planned!$C:$C,Q$2,Data_Planned!$B:$B,$A66)</f>
        <v>1</v>
      </c>
      <c r="R66" s="60">
        <f>SUMIFS(Data_Planned!$D:$D,Data_Planned!$C:$C,R$2,Data_Planned!$B:$B,$A66)</f>
        <v>3</v>
      </c>
    </row>
  </sheetData>
  <mergeCells count="4">
    <mergeCell ref="B1:F1"/>
    <mergeCell ref="H1:L1"/>
    <mergeCell ref="N1:R1"/>
    <mergeCell ref="A1:A2"/>
  </mergeCells>
  <phoneticPr fontId="3" type="noConversion"/>
  <conditionalFormatting sqref="H3:L66">
    <cfRule type="expression" dxfId="1" priority="2">
      <formula>H3=0</formula>
    </cfRule>
    <cfRule type="expression" dxfId="0" priority="3">
      <formula>H3=""</formula>
    </cfRule>
  </conditionalFormatting>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83DF-C6F4-4C2F-96B2-70D5F93DD813}">
  <dimension ref="A1:B61"/>
  <sheetViews>
    <sheetView showRuler="0" zoomScaleNormal="100" zoomScaleSheetLayoutView="400" zoomScalePageLayoutView="90" workbookViewId="0">
      <selection activeCell="A2" sqref="A2:B61"/>
    </sheetView>
  </sheetViews>
  <sheetFormatPr defaultColWidth="9.28515625" defaultRowHeight="14.25" customHeight="1" x14ac:dyDescent="0.2"/>
  <cols>
    <col min="1" max="1" width="9.28515625" style="1"/>
    <col min="2" max="2" width="141.7109375" style="1" bestFit="1" customWidth="1"/>
    <col min="3" max="3" width="9.7109375" style="1" customWidth="1"/>
    <col min="4" max="16384" width="9.28515625" style="1"/>
  </cols>
  <sheetData>
    <row r="1" spans="1:2" ht="14.25" customHeight="1" x14ac:dyDescent="0.2">
      <c r="A1" s="93" t="s">
        <v>860</v>
      </c>
      <c r="B1" s="88" t="s">
        <v>437</v>
      </c>
    </row>
    <row r="2" spans="1:2" ht="14.25" customHeight="1" x14ac:dyDescent="0.2">
      <c r="A2" s="35" t="s">
        <v>164</v>
      </c>
      <c r="B2" s="1" t="s">
        <v>165</v>
      </c>
    </row>
    <row r="3" spans="1:2" ht="14.25" customHeight="1" x14ac:dyDescent="0.2">
      <c r="A3" s="35" t="s">
        <v>167</v>
      </c>
      <c r="B3" s="1" t="s">
        <v>168</v>
      </c>
    </row>
    <row r="4" spans="1:2" ht="14.25" customHeight="1" x14ac:dyDescent="0.2">
      <c r="A4" s="35" t="s">
        <v>169</v>
      </c>
      <c r="B4" s="1" t="s">
        <v>170</v>
      </c>
    </row>
    <row r="5" spans="1:2" ht="14.25" customHeight="1" x14ac:dyDescent="0.2">
      <c r="A5" s="35" t="s">
        <v>171</v>
      </c>
      <c r="B5" s="1" t="s">
        <v>172</v>
      </c>
    </row>
    <row r="6" spans="1:2" ht="14.25" customHeight="1" x14ac:dyDescent="0.2">
      <c r="A6" s="35" t="s">
        <v>174</v>
      </c>
      <c r="B6" s="1" t="s">
        <v>175</v>
      </c>
    </row>
    <row r="7" spans="1:2" ht="14.25" customHeight="1" x14ac:dyDescent="0.2">
      <c r="A7" s="35" t="s">
        <v>177</v>
      </c>
      <c r="B7" s="1" t="s">
        <v>178</v>
      </c>
    </row>
    <row r="8" spans="1:2" ht="14.25" customHeight="1" x14ac:dyDescent="0.2">
      <c r="A8" s="35" t="s">
        <v>179</v>
      </c>
      <c r="B8" s="1" t="s">
        <v>180</v>
      </c>
    </row>
    <row r="9" spans="1:2" ht="14.25" customHeight="1" x14ac:dyDescent="0.2">
      <c r="A9" s="35" t="s">
        <v>181</v>
      </c>
      <c r="B9" s="1" t="s">
        <v>182</v>
      </c>
    </row>
    <row r="10" spans="1:2" ht="14.25" customHeight="1" x14ac:dyDescent="0.2">
      <c r="A10" s="35" t="s">
        <v>183</v>
      </c>
      <c r="B10" s="1" t="s">
        <v>184</v>
      </c>
    </row>
    <row r="11" spans="1:2" ht="14.25" customHeight="1" x14ac:dyDescent="0.2">
      <c r="A11" s="35" t="s">
        <v>185</v>
      </c>
      <c r="B11" s="1" t="s">
        <v>186</v>
      </c>
    </row>
    <row r="12" spans="1:2" ht="14.25" customHeight="1" x14ac:dyDescent="0.2">
      <c r="A12" s="35" t="s">
        <v>188</v>
      </c>
      <c r="B12" s="1" t="s">
        <v>189</v>
      </c>
    </row>
    <row r="13" spans="1:2" ht="14.25" customHeight="1" x14ac:dyDescent="0.2">
      <c r="A13" s="35" t="s">
        <v>190</v>
      </c>
      <c r="B13" s="1" t="s">
        <v>191</v>
      </c>
    </row>
    <row r="14" spans="1:2" ht="14.25" customHeight="1" x14ac:dyDescent="0.2">
      <c r="A14" s="35" t="s">
        <v>192</v>
      </c>
      <c r="B14" s="1" t="s">
        <v>193</v>
      </c>
    </row>
    <row r="15" spans="1:2" ht="14.25" customHeight="1" x14ac:dyDescent="0.2">
      <c r="A15" s="35" t="s">
        <v>195</v>
      </c>
      <c r="B15" s="1" t="s">
        <v>196</v>
      </c>
    </row>
    <row r="16" spans="1:2" ht="14.25" customHeight="1" x14ac:dyDescent="0.2">
      <c r="A16" s="35" t="s">
        <v>197</v>
      </c>
      <c r="B16" s="1" t="s">
        <v>198</v>
      </c>
    </row>
    <row r="17" spans="1:2" ht="14.25" customHeight="1" x14ac:dyDescent="0.2">
      <c r="A17" s="35" t="s">
        <v>199</v>
      </c>
      <c r="B17" s="1" t="s">
        <v>200</v>
      </c>
    </row>
    <row r="18" spans="1:2" ht="14.25" customHeight="1" x14ac:dyDescent="0.2">
      <c r="A18" s="35" t="s">
        <v>201</v>
      </c>
      <c r="B18" s="1" t="s">
        <v>202</v>
      </c>
    </row>
    <row r="19" spans="1:2" ht="14.25" customHeight="1" x14ac:dyDescent="0.2">
      <c r="A19" s="35" t="s">
        <v>203</v>
      </c>
      <c r="B19" s="1" t="s">
        <v>204</v>
      </c>
    </row>
    <row r="20" spans="1:2" ht="14.25" customHeight="1" x14ac:dyDescent="0.2">
      <c r="A20" s="35" t="s">
        <v>205</v>
      </c>
      <c r="B20" s="1" t="s">
        <v>206</v>
      </c>
    </row>
    <row r="21" spans="1:2" ht="14.25" customHeight="1" x14ac:dyDescent="0.2">
      <c r="A21" s="35" t="s">
        <v>207</v>
      </c>
      <c r="B21" s="1" t="s">
        <v>208</v>
      </c>
    </row>
    <row r="22" spans="1:2" ht="14.25" customHeight="1" x14ac:dyDescent="0.2">
      <c r="A22" s="35" t="s">
        <v>210</v>
      </c>
      <c r="B22" s="1" t="s">
        <v>211</v>
      </c>
    </row>
    <row r="23" spans="1:2" ht="14.25" customHeight="1" x14ac:dyDescent="0.2">
      <c r="A23" s="35" t="s">
        <v>212</v>
      </c>
      <c r="B23" s="1" t="s">
        <v>213</v>
      </c>
    </row>
    <row r="24" spans="1:2" ht="14.25" customHeight="1" x14ac:dyDescent="0.2">
      <c r="A24" s="35" t="s">
        <v>215</v>
      </c>
      <c r="B24" s="1" t="s">
        <v>216</v>
      </c>
    </row>
    <row r="25" spans="1:2" ht="14.25" customHeight="1" x14ac:dyDescent="0.2">
      <c r="A25" s="35" t="s">
        <v>217</v>
      </c>
      <c r="B25" s="1" t="s">
        <v>218</v>
      </c>
    </row>
    <row r="26" spans="1:2" ht="14.25" customHeight="1" x14ac:dyDescent="0.2">
      <c r="A26" s="35" t="s">
        <v>219</v>
      </c>
      <c r="B26" s="1" t="s">
        <v>220</v>
      </c>
    </row>
    <row r="27" spans="1:2" ht="14.25" customHeight="1" x14ac:dyDescent="0.2">
      <c r="A27" s="35" t="s">
        <v>221</v>
      </c>
      <c r="B27" s="1" t="s">
        <v>222</v>
      </c>
    </row>
    <row r="28" spans="1:2" ht="14.25" customHeight="1" x14ac:dyDescent="0.2">
      <c r="A28" s="35" t="s">
        <v>223</v>
      </c>
      <c r="B28" s="1" t="s">
        <v>224</v>
      </c>
    </row>
    <row r="29" spans="1:2" ht="14.25" customHeight="1" x14ac:dyDescent="0.2">
      <c r="A29" s="35" t="s">
        <v>225</v>
      </c>
      <c r="B29" s="1" t="s">
        <v>226</v>
      </c>
    </row>
    <row r="30" spans="1:2" ht="14.25" customHeight="1" x14ac:dyDescent="0.2">
      <c r="A30" s="35" t="s">
        <v>227</v>
      </c>
      <c r="B30" s="1" t="s">
        <v>228</v>
      </c>
    </row>
    <row r="31" spans="1:2" ht="14.25" customHeight="1" x14ac:dyDescent="0.2">
      <c r="A31" s="35" t="s">
        <v>230</v>
      </c>
      <c r="B31" s="1" t="s">
        <v>231</v>
      </c>
    </row>
    <row r="32" spans="1:2" ht="14.25" customHeight="1" x14ac:dyDescent="0.2">
      <c r="A32" s="35" t="s">
        <v>232</v>
      </c>
      <c r="B32" s="1" t="s">
        <v>233</v>
      </c>
    </row>
    <row r="33" spans="1:2" ht="14.25" customHeight="1" x14ac:dyDescent="0.2">
      <c r="A33" s="35" t="s">
        <v>234</v>
      </c>
      <c r="B33" s="1" t="s">
        <v>235</v>
      </c>
    </row>
    <row r="34" spans="1:2" ht="14.25" customHeight="1" x14ac:dyDescent="0.2">
      <c r="A34" s="35" t="s">
        <v>236</v>
      </c>
      <c r="B34" s="1" t="s">
        <v>237</v>
      </c>
    </row>
    <row r="35" spans="1:2" ht="14.25" customHeight="1" x14ac:dyDescent="0.2">
      <c r="A35" s="35" t="s">
        <v>238</v>
      </c>
      <c r="B35" s="1" t="s">
        <v>239</v>
      </c>
    </row>
    <row r="36" spans="1:2" ht="14.25" customHeight="1" x14ac:dyDescent="0.2">
      <c r="A36" s="35" t="s">
        <v>240</v>
      </c>
      <c r="B36" s="1" t="s">
        <v>241</v>
      </c>
    </row>
    <row r="37" spans="1:2" ht="14.25" customHeight="1" x14ac:dyDescent="0.2">
      <c r="A37" s="35" t="s">
        <v>243</v>
      </c>
      <c r="B37" s="1" t="s">
        <v>244</v>
      </c>
    </row>
    <row r="38" spans="1:2" ht="14.25" customHeight="1" x14ac:dyDescent="0.2">
      <c r="A38" s="35" t="s">
        <v>245</v>
      </c>
      <c r="B38" s="1" t="s">
        <v>246</v>
      </c>
    </row>
    <row r="39" spans="1:2" ht="14.25" customHeight="1" x14ac:dyDescent="0.2">
      <c r="A39" s="35" t="s">
        <v>247</v>
      </c>
      <c r="B39" s="1" t="s">
        <v>248</v>
      </c>
    </row>
    <row r="40" spans="1:2" ht="14.25" customHeight="1" x14ac:dyDescent="0.2">
      <c r="A40" s="35" t="s">
        <v>250</v>
      </c>
      <c r="B40" s="1" t="s">
        <v>251</v>
      </c>
    </row>
    <row r="41" spans="1:2" ht="14.25" customHeight="1" x14ac:dyDescent="0.2">
      <c r="A41" s="35" t="s">
        <v>252</v>
      </c>
      <c r="B41" s="1" t="s">
        <v>253</v>
      </c>
    </row>
    <row r="42" spans="1:2" ht="14.25" customHeight="1" x14ac:dyDescent="0.2">
      <c r="A42" s="35" t="s">
        <v>254</v>
      </c>
      <c r="B42" s="1" t="s">
        <v>255</v>
      </c>
    </row>
    <row r="43" spans="1:2" ht="14.25" customHeight="1" x14ac:dyDescent="0.2">
      <c r="A43" s="35" t="s">
        <v>257</v>
      </c>
      <c r="B43" s="1" t="s">
        <v>258</v>
      </c>
    </row>
    <row r="44" spans="1:2" ht="14.25" customHeight="1" x14ac:dyDescent="0.2">
      <c r="A44" s="35" t="s">
        <v>259</v>
      </c>
      <c r="B44" s="1" t="s">
        <v>260</v>
      </c>
    </row>
    <row r="45" spans="1:2" ht="14.25" customHeight="1" x14ac:dyDescent="0.2">
      <c r="A45" s="35" t="s">
        <v>261</v>
      </c>
      <c r="B45" s="1" t="s">
        <v>262</v>
      </c>
    </row>
    <row r="46" spans="1:2" ht="14.25" customHeight="1" x14ac:dyDescent="0.2">
      <c r="A46" s="35" t="s">
        <v>263</v>
      </c>
      <c r="B46" s="1" t="s">
        <v>264</v>
      </c>
    </row>
    <row r="47" spans="1:2" ht="14.25" customHeight="1" x14ac:dyDescent="0.2">
      <c r="A47" s="35" t="s">
        <v>265</v>
      </c>
      <c r="B47" s="1" t="s">
        <v>266</v>
      </c>
    </row>
    <row r="48" spans="1:2" ht="14.25" customHeight="1" x14ac:dyDescent="0.2">
      <c r="A48" s="35" t="s">
        <v>267</v>
      </c>
      <c r="B48" s="1" t="s">
        <v>268</v>
      </c>
    </row>
    <row r="49" spans="1:2" ht="14.25" customHeight="1" x14ac:dyDescent="0.2">
      <c r="A49" s="35" t="s">
        <v>269</v>
      </c>
      <c r="B49" s="1" t="s">
        <v>270</v>
      </c>
    </row>
    <row r="50" spans="1:2" ht="14.25" customHeight="1" x14ac:dyDescent="0.2">
      <c r="A50" s="35" t="s">
        <v>271</v>
      </c>
      <c r="B50" s="1" t="s">
        <v>272</v>
      </c>
    </row>
    <row r="51" spans="1:2" ht="14.25" customHeight="1" x14ac:dyDescent="0.2">
      <c r="A51" s="35" t="s">
        <v>273</v>
      </c>
      <c r="B51" s="1" t="s">
        <v>274</v>
      </c>
    </row>
    <row r="52" spans="1:2" ht="14.25" customHeight="1" x14ac:dyDescent="0.2">
      <c r="A52" s="35" t="s">
        <v>275</v>
      </c>
      <c r="B52" s="1" t="s">
        <v>276</v>
      </c>
    </row>
    <row r="53" spans="1:2" ht="14.25" customHeight="1" x14ac:dyDescent="0.2">
      <c r="A53" s="35" t="s">
        <v>277</v>
      </c>
      <c r="B53" s="1" t="s">
        <v>278</v>
      </c>
    </row>
    <row r="54" spans="1:2" ht="14.25" customHeight="1" x14ac:dyDescent="0.2">
      <c r="A54" s="35" t="s">
        <v>279</v>
      </c>
      <c r="B54" s="1" t="s">
        <v>280</v>
      </c>
    </row>
    <row r="55" spans="1:2" ht="14.25" customHeight="1" x14ac:dyDescent="0.2">
      <c r="A55" s="35" t="s">
        <v>281</v>
      </c>
      <c r="B55" s="1" t="s">
        <v>282</v>
      </c>
    </row>
    <row r="56" spans="1:2" ht="14.25" customHeight="1" x14ac:dyDescent="0.2">
      <c r="A56" s="35" t="s">
        <v>283</v>
      </c>
      <c r="B56" s="1" t="s">
        <v>284</v>
      </c>
    </row>
    <row r="57" spans="1:2" ht="14.25" customHeight="1" x14ac:dyDescent="0.2">
      <c r="A57" s="35" t="s">
        <v>285</v>
      </c>
      <c r="B57" s="1" t="s">
        <v>286</v>
      </c>
    </row>
    <row r="58" spans="1:2" ht="14.25" customHeight="1" x14ac:dyDescent="0.2">
      <c r="A58" s="35" t="s">
        <v>287</v>
      </c>
      <c r="B58" s="1" t="s">
        <v>288</v>
      </c>
    </row>
    <row r="59" spans="1:2" ht="14.25" customHeight="1" x14ac:dyDescent="0.2">
      <c r="A59" s="35" t="s">
        <v>290</v>
      </c>
      <c r="B59" s="1" t="s">
        <v>291</v>
      </c>
    </row>
    <row r="60" spans="1:2" ht="14.25" customHeight="1" x14ac:dyDescent="0.2">
      <c r="A60" s="35" t="s">
        <v>292</v>
      </c>
      <c r="B60" s="1" t="s">
        <v>293</v>
      </c>
    </row>
    <row r="61" spans="1:2" ht="14.25" customHeight="1" x14ac:dyDescent="0.2">
      <c r="A61" s="35" t="s">
        <v>294</v>
      </c>
      <c r="B61" s="1" t="s">
        <v>295</v>
      </c>
    </row>
  </sheetData>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592F-81F8-4200-A324-7F6B2034E90E}">
  <dimension ref="A1:F46"/>
  <sheetViews>
    <sheetView workbookViewId="0">
      <selection activeCell="L14" sqref="L14"/>
    </sheetView>
  </sheetViews>
  <sheetFormatPr defaultRowHeight="15" x14ac:dyDescent="0.25"/>
  <cols>
    <col min="1" max="1" width="13.28515625" bestFit="1" customWidth="1"/>
    <col min="2" max="2" width="16.28515625" bestFit="1" customWidth="1"/>
    <col min="3" max="3" width="6.28515625" bestFit="1" customWidth="1"/>
    <col min="4" max="4" width="10.28515625" bestFit="1" customWidth="1"/>
    <col min="5" max="5" width="7.28515625" bestFit="1" customWidth="1"/>
    <col min="6" max="6" width="11.28515625" bestFit="1" customWidth="1"/>
  </cols>
  <sheetData>
    <row r="1" spans="1:6" x14ac:dyDescent="0.25">
      <c r="A1" s="27" t="s">
        <v>850</v>
      </c>
      <c r="B1" s="27" t="s">
        <v>851</v>
      </c>
    </row>
    <row r="2" spans="1:6" x14ac:dyDescent="0.25">
      <c r="A2" s="27" t="s">
        <v>852</v>
      </c>
      <c r="B2">
        <v>8</v>
      </c>
      <c r="C2">
        <v>9</v>
      </c>
      <c r="D2">
        <v>10</v>
      </c>
      <c r="E2">
        <v>11</v>
      </c>
      <c r="F2" t="s">
        <v>853</v>
      </c>
    </row>
    <row r="3" spans="1:6" x14ac:dyDescent="0.25">
      <c r="A3" s="28" t="s">
        <v>164</v>
      </c>
      <c r="B3">
        <v>188</v>
      </c>
      <c r="C3">
        <v>624</v>
      </c>
      <c r="D3">
        <v>548</v>
      </c>
      <c r="E3">
        <v>72</v>
      </c>
      <c r="F3">
        <v>1432</v>
      </c>
    </row>
    <row r="4" spans="1:6" x14ac:dyDescent="0.25">
      <c r="A4" s="28" t="s">
        <v>167</v>
      </c>
      <c r="B4">
        <v>3</v>
      </c>
      <c r="C4">
        <v>2</v>
      </c>
      <c r="D4">
        <v>2</v>
      </c>
      <c r="E4">
        <v>8</v>
      </c>
      <c r="F4">
        <v>15</v>
      </c>
    </row>
    <row r="5" spans="1:6" x14ac:dyDescent="0.25">
      <c r="A5" s="28" t="s">
        <v>169</v>
      </c>
      <c r="B5">
        <v>4</v>
      </c>
      <c r="C5">
        <v>21</v>
      </c>
      <c r="D5">
        <v>36</v>
      </c>
      <c r="E5">
        <v>13</v>
      </c>
      <c r="F5">
        <v>74</v>
      </c>
    </row>
    <row r="6" spans="1:6" x14ac:dyDescent="0.25">
      <c r="A6" s="28" t="s">
        <v>171</v>
      </c>
      <c r="C6">
        <v>20</v>
      </c>
      <c r="D6">
        <v>113</v>
      </c>
      <c r="E6">
        <v>11</v>
      </c>
      <c r="F6">
        <v>144</v>
      </c>
    </row>
    <row r="7" spans="1:6" x14ac:dyDescent="0.25">
      <c r="A7" s="28" t="s">
        <v>174</v>
      </c>
      <c r="C7">
        <v>2</v>
      </c>
      <c r="D7">
        <v>8</v>
      </c>
      <c r="F7">
        <v>10</v>
      </c>
    </row>
    <row r="8" spans="1:6" x14ac:dyDescent="0.25">
      <c r="A8" s="28" t="s">
        <v>854</v>
      </c>
      <c r="D8">
        <v>8</v>
      </c>
      <c r="F8">
        <v>8</v>
      </c>
    </row>
    <row r="9" spans="1:6" x14ac:dyDescent="0.25">
      <c r="A9" s="28" t="s">
        <v>179</v>
      </c>
      <c r="B9">
        <v>1</v>
      </c>
      <c r="C9">
        <v>3</v>
      </c>
      <c r="D9">
        <v>26</v>
      </c>
      <c r="E9">
        <v>7</v>
      </c>
      <c r="F9">
        <v>37</v>
      </c>
    </row>
    <row r="10" spans="1:6" x14ac:dyDescent="0.25">
      <c r="A10" s="28" t="s">
        <v>188</v>
      </c>
      <c r="B10">
        <v>5</v>
      </c>
      <c r="C10">
        <v>15</v>
      </c>
      <c r="D10">
        <v>5</v>
      </c>
      <c r="E10">
        <v>5</v>
      </c>
      <c r="F10">
        <v>30</v>
      </c>
    </row>
    <row r="11" spans="1:6" x14ac:dyDescent="0.25">
      <c r="A11" s="28" t="s">
        <v>190</v>
      </c>
      <c r="C11">
        <v>9</v>
      </c>
      <c r="D11">
        <v>7</v>
      </c>
      <c r="E11">
        <v>8</v>
      </c>
      <c r="F11">
        <v>24</v>
      </c>
    </row>
    <row r="12" spans="1:6" x14ac:dyDescent="0.25">
      <c r="A12" s="28" t="s">
        <v>192</v>
      </c>
      <c r="C12">
        <v>13</v>
      </c>
      <c r="D12">
        <v>0</v>
      </c>
      <c r="F12">
        <v>13</v>
      </c>
    </row>
    <row r="13" spans="1:6" x14ac:dyDescent="0.25">
      <c r="A13" s="28" t="s">
        <v>195</v>
      </c>
      <c r="C13">
        <v>2</v>
      </c>
      <c r="D13">
        <v>1</v>
      </c>
      <c r="F13">
        <v>3</v>
      </c>
    </row>
    <row r="14" spans="1:6" x14ac:dyDescent="0.25">
      <c r="A14" s="28" t="s">
        <v>197</v>
      </c>
      <c r="C14">
        <v>8</v>
      </c>
      <c r="D14">
        <v>104</v>
      </c>
      <c r="E14">
        <v>110</v>
      </c>
      <c r="F14">
        <v>222</v>
      </c>
    </row>
    <row r="15" spans="1:6" x14ac:dyDescent="0.25">
      <c r="A15" s="28" t="s">
        <v>199</v>
      </c>
      <c r="B15">
        <v>8</v>
      </c>
      <c r="F15">
        <v>8</v>
      </c>
    </row>
    <row r="16" spans="1:6" x14ac:dyDescent="0.25">
      <c r="A16" s="28" t="s">
        <v>207</v>
      </c>
      <c r="C16">
        <v>20</v>
      </c>
      <c r="F16">
        <v>20</v>
      </c>
    </row>
    <row r="17" spans="1:6" x14ac:dyDescent="0.25">
      <c r="A17" s="28" t="s">
        <v>210</v>
      </c>
      <c r="C17">
        <v>3</v>
      </c>
      <c r="E17">
        <v>68600</v>
      </c>
      <c r="F17">
        <v>68603</v>
      </c>
    </row>
    <row r="18" spans="1:6" x14ac:dyDescent="0.25">
      <c r="A18" s="28" t="s">
        <v>212</v>
      </c>
      <c r="C18">
        <v>3</v>
      </c>
      <c r="F18">
        <v>3</v>
      </c>
    </row>
    <row r="19" spans="1:6" x14ac:dyDescent="0.25">
      <c r="A19" s="28" t="s">
        <v>215</v>
      </c>
      <c r="B19">
        <v>4</v>
      </c>
      <c r="C19">
        <v>38</v>
      </c>
      <c r="D19">
        <v>12</v>
      </c>
      <c r="E19">
        <v>2</v>
      </c>
      <c r="F19">
        <v>56</v>
      </c>
    </row>
    <row r="20" spans="1:6" x14ac:dyDescent="0.25">
      <c r="A20" s="28" t="s">
        <v>217</v>
      </c>
      <c r="B20">
        <v>120</v>
      </c>
      <c r="C20">
        <v>15</v>
      </c>
      <c r="D20">
        <v>40</v>
      </c>
      <c r="E20">
        <v>5</v>
      </c>
      <c r="F20">
        <v>180</v>
      </c>
    </row>
    <row r="21" spans="1:6" x14ac:dyDescent="0.25">
      <c r="A21" s="28" t="s">
        <v>219</v>
      </c>
      <c r="C21">
        <v>1</v>
      </c>
      <c r="D21">
        <v>5</v>
      </c>
      <c r="E21">
        <v>2</v>
      </c>
      <c r="F21">
        <v>8</v>
      </c>
    </row>
    <row r="22" spans="1:6" x14ac:dyDescent="0.25">
      <c r="A22" s="28" t="s">
        <v>221</v>
      </c>
      <c r="D22">
        <v>6</v>
      </c>
      <c r="F22">
        <v>6</v>
      </c>
    </row>
    <row r="23" spans="1:6" x14ac:dyDescent="0.25">
      <c r="A23" s="28" t="s">
        <v>223</v>
      </c>
      <c r="C23">
        <v>4</v>
      </c>
      <c r="D23">
        <v>26</v>
      </c>
      <c r="E23">
        <v>6</v>
      </c>
      <c r="F23">
        <v>36</v>
      </c>
    </row>
    <row r="24" spans="1:6" x14ac:dyDescent="0.25">
      <c r="A24" s="28" t="s">
        <v>225</v>
      </c>
      <c r="E24">
        <v>200</v>
      </c>
      <c r="F24">
        <v>200</v>
      </c>
    </row>
    <row r="25" spans="1:6" x14ac:dyDescent="0.25">
      <c r="A25" s="28" t="s">
        <v>227</v>
      </c>
      <c r="C25">
        <v>2</v>
      </c>
      <c r="E25">
        <v>1</v>
      </c>
      <c r="F25">
        <v>3</v>
      </c>
    </row>
    <row r="26" spans="1:6" x14ac:dyDescent="0.25">
      <c r="A26" s="28" t="s">
        <v>230</v>
      </c>
      <c r="B26">
        <v>15</v>
      </c>
      <c r="C26">
        <v>3</v>
      </c>
      <c r="D26">
        <v>0</v>
      </c>
      <c r="E26">
        <v>4</v>
      </c>
      <c r="F26">
        <v>22</v>
      </c>
    </row>
    <row r="27" spans="1:6" x14ac:dyDescent="0.25">
      <c r="A27" s="28" t="s">
        <v>232</v>
      </c>
      <c r="C27">
        <v>2</v>
      </c>
      <c r="D27">
        <v>6</v>
      </c>
      <c r="E27">
        <v>4</v>
      </c>
      <c r="F27">
        <v>12</v>
      </c>
    </row>
    <row r="28" spans="1:6" x14ac:dyDescent="0.25">
      <c r="A28" s="28" t="s">
        <v>234</v>
      </c>
      <c r="D28">
        <v>2</v>
      </c>
      <c r="F28">
        <v>2</v>
      </c>
    </row>
    <row r="29" spans="1:6" x14ac:dyDescent="0.25">
      <c r="A29" s="28" t="s">
        <v>236</v>
      </c>
      <c r="C29">
        <v>1</v>
      </c>
      <c r="F29">
        <v>1</v>
      </c>
    </row>
    <row r="30" spans="1:6" x14ac:dyDescent="0.25">
      <c r="A30" s="28" t="s">
        <v>238</v>
      </c>
      <c r="C30">
        <v>8500</v>
      </c>
      <c r="D30">
        <v>980048</v>
      </c>
      <c r="E30">
        <v>92</v>
      </c>
      <c r="F30">
        <v>988640</v>
      </c>
    </row>
    <row r="31" spans="1:6" x14ac:dyDescent="0.25">
      <c r="A31" s="28" t="s">
        <v>240</v>
      </c>
      <c r="C31">
        <v>53</v>
      </c>
      <c r="D31">
        <v>1300</v>
      </c>
      <c r="E31">
        <v>10</v>
      </c>
      <c r="F31">
        <v>1363</v>
      </c>
    </row>
    <row r="32" spans="1:6" x14ac:dyDescent="0.25">
      <c r="A32" s="28" t="s">
        <v>243</v>
      </c>
      <c r="D32">
        <v>54</v>
      </c>
      <c r="E32">
        <v>0</v>
      </c>
      <c r="F32">
        <v>54</v>
      </c>
    </row>
    <row r="33" spans="1:6" x14ac:dyDescent="0.25">
      <c r="A33" s="28" t="s">
        <v>245</v>
      </c>
      <c r="B33">
        <v>2</v>
      </c>
      <c r="C33">
        <v>25</v>
      </c>
      <c r="D33">
        <v>43</v>
      </c>
      <c r="E33">
        <v>20</v>
      </c>
      <c r="F33">
        <v>90</v>
      </c>
    </row>
    <row r="34" spans="1:6" x14ac:dyDescent="0.25">
      <c r="A34" s="28" t="s">
        <v>247</v>
      </c>
      <c r="B34">
        <v>15</v>
      </c>
      <c r="C34">
        <v>3006</v>
      </c>
      <c r="D34">
        <v>0</v>
      </c>
      <c r="E34">
        <v>5</v>
      </c>
      <c r="F34">
        <v>3026</v>
      </c>
    </row>
    <row r="35" spans="1:6" x14ac:dyDescent="0.25">
      <c r="A35" s="28" t="s">
        <v>250</v>
      </c>
      <c r="B35">
        <v>9</v>
      </c>
      <c r="C35">
        <v>14</v>
      </c>
      <c r="D35">
        <v>15</v>
      </c>
      <c r="E35">
        <v>6</v>
      </c>
      <c r="F35">
        <v>44</v>
      </c>
    </row>
    <row r="36" spans="1:6" x14ac:dyDescent="0.25">
      <c r="A36" s="28" t="s">
        <v>252</v>
      </c>
      <c r="B36">
        <v>2</v>
      </c>
      <c r="C36">
        <v>1</v>
      </c>
      <c r="D36">
        <v>1</v>
      </c>
      <c r="E36">
        <v>10</v>
      </c>
      <c r="F36">
        <v>14</v>
      </c>
    </row>
    <row r="37" spans="1:6" x14ac:dyDescent="0.25">
      <c r="A37" s="28" t="s">
        <v>254</v>
      </c>
      <c r="B37">
        <v>2</v>
      </c>
      <c r="C37">
        <v>5</v>
      </c>
      <c r="D37">
        <v>19</v>
      </c>
      <c r="E37">
        <v>15</v>
      </c>
      <c r="F37">
        <v>41</v>
      </c>
    </row>
    <row r="38" spans="1:6" x14ac:dyDescent="0.25">
      <c r="A38" s="28" t="s">
        <v>257</v>
      </c>
      <c r="B38">
        <v>20.56</v>
      </c>
      <c r="C38">
        <v>8761</v>
      </c>
      <c r="D38">
        <v>0</v>
      </c>
      <c r="E38">
        <v>658000</v>
      </c>
      <c r="F38">
        <v>666781.56000000006</v>
      </c>
    </row>
    <row r="39" spans="1:6" x14ac:dyDescent="0.25">
      <c r="A39" s="28" t="s">
        <v>259</v>
      </c>
      <c r="D39">
        <v>0</v>
      </c>
      <c r="E39">
        <v>0</v>
      </c>
      <c r="F39">
        <v>0</v>
      </c>
    </row>
    <row r="40" spans="1:6" x14ac:dyDescent="0.25">
      <c r="A40" s="28" t="s">
        <v>261</v>
      </c>
      <c r="B40">
        <v>2</v>
      </c>
      <c r="C40">
        <v>1</v>
      </c>
      <c r="D40">
        <v>3</v>
      </c>
      <c r="E40">
        <v>6</v>
      </c>
      <c r="F40">
        <v>12</v>
      </c>
    </row>
    <row r="41" spans="1:6" x14ac:dyDescent="0.25">
      <c r="A41" s="28" t="s">
        <v>263</v>
      </c>
      <c r="D41">
        <v>2</v>
      </c>
      <c r="E41">
        <v>30</v>
      </c>
      <c r="F41">
        <v>32</v>
      </c>
    </row>
    <row r="42" spans="1:6" x14ac:dyDescent="0.25">
      <c r="A42" s="28" t="s">
        <v>277</v>
      </c>
      <c r="E42">
        <v>21</v>
      </c>
      <c r="F42">
        <v>21</v>
      </c>
    </row>
    <row r="43" spans="1:6" x14ac:dyDescent="0.25">
      <c r="A43" s="28" t="s">
        <v>279</v>
      </c>
      <c r="D43">
        <v>1.62</v>
      </c>
      <c r="E43">
        <v>318</v>
      </c>
      <c r="F43">
        <v>319.62</v>
      </c>
    </row>
    <row r="44" spans="1:6" x14ac:dyDescent="0.25">
      <c r="A44" s="28" t="s">
        <v>287</v>
      </c>
      <c r="E44">
        <v>5</v>
      </c>
      <c r="F44">
        <v>5</v>
      </c>
    </row>
    <row r="45" spans="1:6" x14ac:dyDescent="0.25">
      <c r="A45" s="28" t="s">
        <v>294</v>
      </c>
      <c r="D45">
        <v>1</v>
      </c>
      <c r="E45">
        <v>3</v>
      </c>
      <c r="F45">
        <v>4</v>
      </c>
    </row>
    <row r="46" spans="1:6" x14ac:dyDescent="0.25">
      <c r="A46" s="28" t="s">
        <v>853</v>
      </c>
      <c r="B46">
        <v>400.56</v>
      </c>
      <c r="C46">
        <v>21177</v>
      </c>
      <c r="D46">
        <v>982442.62</v>
      </c>
      <c r="E46">
        <v>727599</v>
      </c>
      <c r="F46">
        <v>1731619.1800000002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50375-3AFD-4F5D-A567-A64EDBA9FBD7}">
  <dimension ref="A1:F62"/>
  <sheetViews>
    <sheetView workbookViewId="0">
      <selection activeCell="K25" sqref="K25"/>
    </sheetView>
  </sheetViews>
  <sheetFormatPr defaultRowHeight="15" x14ac:dyDescent="0.25"/>
  <cols>
    <col min="1" max="1" width="10.28515625" bestFit="1" customWidth="1"/>
    <col min="2" max="2" width="3" bestFit="1" customWidth="1"/>
    <col min="3" max="3" width="5" bestFit="1" customWidth="1"/>
    <col min="4" max="5" width="7" bestFit="1" customWidth="1"/>
    <col min="6" max="6" width="10.7109375" bestFit="1" customWidth="1"/>
  </cols>
  <sheetData>
    <row r="1" spans="1:6" x14ac:dyDescent="0.25">
      <c r="B1" s="413" t="s">
        <v>297</v>
      </c>
      <c r="C1" s="413"/>
      <c r="D1" s="413"/>
      <c r="E1" s="413"/>
    </row>
    <row r="2" spans="1:6" x14ac:dyDescent="0.25">
      <c r="A2" t="s">
        <v>145</v>
      </c>
      <c r="B2">
        <v>8</v>
      </c>
      <c r="C2">
        <v>9</v>
      </c>
      <c r="D2">
        <v>10</v>
      </c>
      <c r="E2">
        <v>11</v>
      </c>
      <c r="F2" t="s">
        <v>853</v>
      </c>
    </row>
    <row r="3" spans="1:6" x14ac:dyDescent="0.25">
      <c r="A3" t="s">
        <v>164</v>
      </c>
      <c r="B3">
        <v>4</v>
      </c>
      <c r="C3">
        <v>22</v>
      </c>
      <c r="D3">
        <v>119</v>
      </c>
      <c r="E3">
        <v>72</v>
      </c>
      <c r="F3">
        <f>SUM(B3:E3)</f>
        <v>217</v>
      </c>
    </row>
    <row r="4" spans="1:6" x14ac:dyDescent="0.25">
      <c r="A4" t="s">
        <v>167</v>
      </c>
      <c r="B4">
        <v>0</v>
      </c>
      <c r="C4">
        <v>0</v>
      </c>
      <c r="D4">
        <v>1</v>
      </c>
      <c r="E4">
        <v>8</v>
      </c>
      <c r="F4">
        <f t="shared" ref="F4:F44" si="0">SUM(B4:E4)</f>
        <v>9</v>
      </c>
    </row>
    <row r="5" spans="1:6" x14ac:dyDescent="0.25">
      <c r="A5" t="s">
        <v>169</v>
      </c>
      <c r="B5">
        <v>0</v>
      </c>
      <c r="C5">
        <v>7</v>
      </c>
      <c r="D5">
        <v>24</v>
      </c>
      <c r="E5">
        <v>13</v>
      </c>
      <c r="F5">
        <f t="shared" si="0"/>
        <v>44</v>
      </c>
    </row>
    <row r="6" spans="1:6" x14ac:dyDescent="0.25">
      <c r="A6" t="s">
        <v>171</v>
      </c>
      <c r="B6">
        <v>0</v>
      </c>
      <c r="C6">
        <v>0</v>
      </c>
      <c r="D6">
        <v>57</v>
      </c>
      <c r="E6">
        <v>11</v>
      </c>
      <c r="F6">
        <f t="shared" si="0"/>
        <v>68</v>
      </c>
    </row>
    <row r="7" spans="1:6" x14ac:dyDescent="0.25">
      <c r="A7" t="s">
        <v>174</v>
      </c>
      <c r="B7">
        <v>0</v>
      </c>
      <c r="C7">
        <v>0</v>
      </c>
      <c r="D7">
        <v>8</v>
      </c>
      <c r="E7">
        <v>0</v>
      </c>
      <c r="F7">
        <f t="shared" si="0"/>
        <v>8</v>
      </c>
    </row>
    <row r="8" spans="1:6" x14ac:dyDescent="0.25">
      <c r="A8" t="s">
        <v>177</v>
      </c>
      <c r="B8">
        <v>0</v>
      </c>
      <c r="C8">
        <v>0</v>
      </c>
      <c r="D8">
        <v>0</v>
      </c>
      <c r="E8">
        <v>0</v>
      </c>
      <c r="F8">
        <f t="shared" si="0"/>
        <v>0</v>
      </c>
    </row>
    <row r="9" spans="1:6" x14ac:dyDescent="0.25">
      <c r="A9" t="s">
        <v>179</v>
      </c>
      <c r="B9">
        <v>1</v>
      </c>
      <c r="C9">
        <v>1</v>
      </c>
      <c r="D9">
        <v>12</v>
      </c>
      <c r="E9">
        <v>7</v>
      </c>
      <c r="F9">
        <f t="shared" si="0"/>
        <v>21</v>
      </c>
    </row>
    <row r="10" spans="1:6" x14ac:dyDescent="0.25">
      <c r="A10" t="s">
        <v>181</v>
      </c>
      <c r="B10">
        <v>0</v>
      </c>
      <c r="C10">
        <v>0</v>
      </c>
      <c r="D10">
        <v>0</v>
      </c>
      <c r="E10">
        <v>0</v>
      </c>
      <c r="F10">
        <f t="shared" si="0"/>
        <v>0</v>
      </c>
    </row>
    <row r="11" spans="1:6" x14ac:dyDescent="0.25">
      <c r="A11" t="s">
        <v>183</v>
      </c>
      <c r="B11">
        <v>0</v>
      </c>
      <c r="C11">
        <v>0</v>
      </c>
      <c r="D11">
        <v>0</v>
      </c>
      <c r="E11">
        <v>0</v>
      </c>
      <c r="F11">
        <f t="shared" si="0"/>
        <v>0</v>
      </c>
    </row>
    <row r="12" spans="1:6" x14ac:dyDescent="0.25">
      <c r="A12" t="s">
        <v>185</v>
      </c>
      <c r="B12">
        <v>0</v>
      </c>
      <c r="C12">
        <v>0</v>
      </c>
      <c r="D12">
        <v>0</v>
      </c>
      <c r="E12">
        <v>0</v>
      </c>
      <c r="F12">
        <f t="shared" si="0"/>
        <v>0</v>
      </c>
    </row>
    <row r="13" spans="1:6" x14ac:dyDescent="0.25">
      <c r="A13" t="s">
        <v>188</v>
      </c>
      <c r="B13">
        <v>0</v>
      </c>
      <c r="C13">
        <v>6</v>
      </c>
      <c r="D13">
        <v>5</v>
      </c>
      <c r="E13">
        <v>5</v>
      </c>
      <c r="F13">
        <f t="shared" si="0"/>
        <v>16</v>
      </c>
    </row>
    <row r="14" spans="1:6" x14ac:dyDescent="0.25">
      <c r="A14" t="s">
        <v>190</v>
      </c>
      <c r="B14">
        <v>0</v>
      </c>
      <c r="C14">
        <v>4</v>
      </c>
      <c r="D14">
        <v>6</v>
      </c>
      <c r="E14">
        <v>8</v>
      </c>
      <c r="F14">
        <f t="shared" si="0"/>
        <v>18</v>
      </c>
    </row>
    <row r="15" spans="1:6" x14ac:dyDescent="0.25">
      <c r="A15" t="s">
        <v>192</v>
      </c>
      <c r="B15">
        <v>0</v>
      </c>
      <c r="C15">
        <v>0</v>
      </c>
      <c r="D15">
        <v>0</v>
      </c>
      <c r="E15">
        <v>0</v>
      </c>
      <c r="F15">
        <f t="shared" si="0"/>
        <v>0</v>
      </c>
    </row>
    <row r="16" spans="1:6" x14ac:dyDescent="0.25">
      <c r="A16" t="s">
        <v>195</v>
      </c>
      <c r="B16">
        <v>0</v>
      </c>
      <c r="C16">
        <v>0</v>
      </c>
      <c r="D16">
        <v>1</v>
      </c>
      <c r="E16">
        <v>0</v>
      </c>
      <c r="F16">
        <f t="shared" si="0"/>
        <v>1</v>
      </c>
    </row>
    <row r="17" spans="1:6" x14ac:dyDescent="0.25">
      <c r="A17" t="s">
        <v>197</v>
      </c>
      <c r="B17">
        <v>0</v>
      </c>
      <c r="C17">
        <v>0</v>
      </c>
      <c r="D17">
        <v>74</v>
      </c>
      <c r="E17">
        <v>110</v>
      </c>
      <c r="F17">
        <f t="shared" si="0"/>
        <v>184</v>
      </c>
    </row>
    <row r="18" spans="1:6" x14ac:dyDescent="0.25">
      <c r="A18" t="s">
        <v>199</v>
      </c>
      <c r="B18">
        <v>0</v>
      </c>
      <c r="C18">
        <v>0</v>
      </c>
      <c r="D18">
        <v>0</v>
      </c>
      <c r="E18">
        <v>0</v>
      </c>
      <c r="F18">
        <f t="shared" si="0"/>
        <v>0</v>
      </c>
    </row>
    <row r="19" spans="1:6" x14ac:dyDescent="0.25">
      <c r="A19" t="s">
        <v>201</v>
      </c>
      <c r="B19">
        <v>0</v>
      </c>
      <c r="C19">
        <v>0</v>
      </c>
      <c r="D19">
        <v>0</v>
      </c>
      <c r="E19">
        <v>0</v>
      </c>
      <c r="F19">
        <f t="shared" si="0"/>
        <v>0</v>
      </c>
    </row>
    <row r="20" spans="1:6" x14ac:dyDescent="0.25">
      <c r="A20" t="s">
        <v>203</v>
      </c>
      <c r="B20">
        <v>0</v>
      </c>
      <c r="C20">
        <v>0</v>
      </c>
      <c r="D20">
        <v>0</v>
      </c>
      <c r="E20">
        <v>0</v>
      </c>
      <c r="F20">
        <f t="shared" si="0"/>
        <v>0</v>
      </c>
    </row>
    <row r="21" spans="1:6" x14ac:dyDescent="0.25">
      <c r="A21" t="s">
        <v>205</v>
      </c>
      <c r="B21">
        <v>0</v>
      </c>
      <c r="C21">
        <v>0</v>
      </c>
      <c r="D21">
        <v>0</v>
      </c>
      <c r="E21">
        <v>0</v>
      </c>
      <c r="F21">
        <f t="shared" si="0"/>
        <v>0</v>
      </c>
    </row>
    <row r="22" spans="1:6" x14ac:dyDescent="0.25">
      <c r="A22" t="s">
        <v>207</v>
      </c>
      <c r="B22">
        <v>0</v>
      </c>
      <c r="C22">
        <v>0</v>
      </c>
      <c r="D22">
        <v>0</v>
      </c>
      <c r="E22">
        <v>0</v>
      </c>
      <c r="F22">
        <f t="shared" si="0"/>
        <v>0</v>
      </c>
    </row>
    <row r="23" spans="1:6" x14ac:dyDescent="0.25">
      <c r="A23" t="s">
        <v>210</v>
      </c>
      <c r="B23">
        <v>0</v>
      </c>
      <c r="C23">
        <v>3</v>
      </c>
      <c r="D23">
        <v>0</v>
      </c>
      <c r="E23">
        <v>68600</v>
      </c>
      <c r="F23">
        <f t="shared" si="0"/>
        <v>68603</v>
      </c>
    </row>
    <row r="24" spans="1:6" x14ac:dyDescent="0.25">
      <c r="A24" t="s">
        <v>212</v>
      </c>
      <c r="B24">
        <v>0</v>
      </c>
      <c r="C24">
        <v>0</v>
      </c>
      <c r="D24">
        <v>0</v>
      </c>
      <c r="E24">
        <v>0</v>
      </c>
      <c r="F24">
        <f t="shared" si="0"/>
        <v>0</v>
      </c>
    </row>
    <row r="25" spans="1:6" x14ac:dyDescent="0.25">
      <c r="A25" t="s">
        <v>215</v>
      </c>
      <c r="B25">
        <v>0</v>
      </c>
      <c r="C25">
        <v>3</v>
      </c>
      <c r="D25">
        <v>11</v>
      </c>
      <c r="E25">
        <v>2</v>
      </c>
      <c r="F25">
        <f t="shared" si="0"/>
        <v>16</v>
      </c>
    </row>
    <row r="26" spans="1:6" x14ac:dyDescent="0.25">
      <c r="A26" t="s">
        <v>217</v>
      </c>
      <c r="B26">
        <v>20</v>
      </c>
      <c r="C26">
        <v>1</v>
      </c>
      <c r="D26">
        <v>39</v>
      </c>
      <c r="E26">
        <v>5</v>
      </c>
      <c r="F26">
        <f t="shared" si="0"/>
        <v>65</v>
      </c>
    </row>
    <row r="27" spans="1:6" x14ac:dyDescent="0.25">
      <c r="A27" t="s">
        <v>219</v>
      </c>
      <c r="B27">
        <v>0</v>
      </c>
      <c r="C27">
        <v>0</v>
      </c>
      <c r="D27">
        <v>4</v>
      </c>
      <c r="E27">
        <v>2</v>
      </c>
      <c r="F27">
        <f t="shared" si="0"/>
        <v>6</v>
      </c>
    </row>
    <row r="28" spans="1:6" x14ac:dyDescent="0.25">
      <c r="A28" t="s">
        <v>221</v>
      </c>
      <c r="B28">
        <v>0</v>
      </c>
      <c r="C28">
        <v>0</v>
      </c>
      <c r="D28">
        <v>2</v>
      </c>
      <c r="E28">
        <v>0</v>
      </c>
      <c r="F28">
        <f t="shared" si="0"/>
        <v>2</v>
      </c>
    </row>
    <row r="29" spans="1:6" x14ac:dyDescent="0.25">
      <c r="A29" t="s">
        <v>223</v>
      </c>
      <c r="B29">
        <v>0</v>
      </c>
      <c r="C29">
        <v>0</v>
      </c>
      <c r="D29">
        <v>13</v>
      </c>
      <c r="E29">
        <v>6</v>
      </c>
      <c r="F29">
        <f t="shared" si="0"/>
        <v>19</v>
      </c>
    </row>
    <row r="30" spans="1:6" x14ac:dyDescent="0.25">
      <c r="A30" t="s">
        <v>225</v>
      </c>
      <c r="B30">
        <v>0</v>
      </c>
      <c r="C30">
        <v>0</v>
      </c>
      <c r="D30">
        <v>0</v>
      </c>
      <c r="E30">
        <v>200</v>
      </c>
      <c r="F30">
        <f t="shared" si="0"/>
        <v>200</v>
      </c>
    </row>
    <row r="31" spans="1:6" x14ac:dyDescent="0.25">
      <c r="A31" t="s">
        <v>227</v>
      </c>
      <c r="B31">
        <v>0</v>
      </c>
      <c r="C31">
        <v>2</v>
      </c>
      <c r="D31">
        <v>0</v>
      </c>
      <c r="E31">
        <v>1</v>
      </c>
      <c r="F31">
        <f t="shared" si="0"/>
        <v>3</v>
      </c>
    </row>
    <row r="32" spans="1:6" x14ac:dyDescent="0.25">
      <c r="A32" t="s">
        <v>230</v>
      </c>
      <c r="B32">
        <v>15</v>
      </c>
      <c r="C32">
        <v>3</v>
      </c>
      <c r="D32">
        <v>0</v>
      </c>
      <c r="E32">
        <v>4</v>
      </c>
      <c r="F32">
        <f t="shared" si="0"/>
        <v>22</v>
      </c>
    </row>
    <row r="33" spans="1:6" x14ac:dyDescent="0.25">
      <c r="A33" t="s">
        <v>232</v>
      </c>
      <c r="B33">
        <v>0</v>
      </c>
      <c r="C33">
        <v>0</v>
      </c>
      <c r="D33">
        <v>2</v>
      </c>
      <c r="E33">
        <v>4</v>
      </c>
      <c r="F33">
        <f t="shared" si="0"/>
        <v>6</v>
      </c>
    </row>
    <row r="34" spans="1:6" x14ac:dyDescent="0.25">
      <c r="A34" t="s">
        <v>234</v>
      </c>
      <c r="B34">
        <v>0</v>
      </c>
      <c r="C34">
        <v>0</v>
      </c>
      <c r="D34">
        <v>0</v>
      </c>
      <c r="E34">
        <v>0</v>
      </c>
      <c r="F34">
        <f t="shared" si="0"/>
        <v>0</v>
      </c>
    </row>
    <row r="35" spans="1:6" x14ac:dyDescent="0.25">
      <c r="A35" t="s">
        <v>236</v>
      </c>
      <c r="B35">
        <v>0</v>
      </c>
      <c r="C35">
        <v>0</v>
      </c>
      <c r="D35">
        <v>0</v>
      </c>
      <c r="E35">
        <v>0</v>
      </c>
      <c r="F35">
        <f t="shared" si="0"/>
        <v>0</v>
      </c>
    </row>
    <row r="36" spans="1:6" x14ac:dyDescent="0.25">
      <c r="A36" t="s">
        <v>238</v>
      </c>
      <c r="B36">
        <v>0</v>
      </c>
      <c r="C36">
        <v>3000</v>
      </c>
      <c r="D36">
        <v>595024</v>
      </c>
      <c r="E36">
        <v>92</v>
      </c>
      <c r="F36">
        <f t="shared" si="0"/>
        <v>598116</v>
      </c>
    </row>
    <row r="37" spans="1:6" x14ac:dyDescent="0.25">
      <c r="A37" t="s">
        <v>240</v>
      </c>
      <c r="B37">
        <v>0</v>
      </c>
      <c r="C37">
        <v>0</v>
      </c>
      <c r="D37">
        <v>300</v>
      </c>
      <c r="E37">
        <v>10</v>
      </c>
      <c r="F37">
        <f t="shared" si="0"/>
        <v>310</v>
      </c>
    </row>
    <row r="38" spans="1:6" x14ac:dyDescent="0.25">
      <c r="A38" t="s">
        <v>243</v>
      </c>
      <c r="B38">
        <v>0</v>
      </c>
      <c r="C38">
        <v>0</v>
      </c>
      <c r="D38">
        <v>15</v>
      </c>
      <c r="E38">
        <v>0</v>
      </c>
      <c r="F38">
        <f t="shared" si="0"/>
        <v>15</v>
      </c>
    </row>
    <row r="39" spans="1:6" x14ac:dyDescent="0.25">
      <c r="A39" t="s">
        <v>245</v>
      </c>
      <c r="B39">
        <v>0</v>
      </c>
      <c r="C39">
        <v>5</v>
      </c>
      <c r="D39">
        <v>17</v>
      </c>
      <c r="E39">
        <v>20</v>
      </c>
      <c r="F39">
        <f t="shared" si="0"/>
        <v>42</v>
      </c>
    </row>
    <row r="40" spans="1:6" x14ac:dyDescent="0.25">
      <c r="A40" t="s">
        <v>247</v>
      </c>
      <c r="B40">
        <v>15</v>
      </c>
      <c r="C40">
        <v>0</v>
      </c>
      <c r="D40">
        <v>0</v>
      </c>
      <c r="E40">
        <v>5</v>
      </c>
      <c r="F40">
        <f t="shared" si="0"/>
        <v>20</v>
      </c>
    </row>
    <row r="41" spans="1:6" x14ac:dyDescent="0.25">
      <c r="A41" t="s">
        <v>250</v>
      </c>
      <c r="B41">
        <v>0</v>
      </c>
      <c r="C41">
        <v>1</v>
      </c>
      <c r="D41">
        <v>1</v>
      </c>
      <c r="E41">
        <v>6</v>
      </c>
      <c r="F41">
        <f t="shared" si="0"/>
        <v>8</v>
      </c>
    </row>
    <row r="42" spans="1:6" x14ac:dyDescent="0.25">
      <c r="A42" t="s">
        <v>252</v>
      </c>
      <c r="B42">
        <v>0</v>
      </c>
      <c r="C42">
        <v>1</v>
      </c>
      <c r="D42">
        <v>0</v>
      </c>
      <c r="E42">
        <v>10</v>
      </c>
      <c r="F42">
        <f t="shared" si="0"/>
        <v>11</v>
      </c>
    </row>
    <row r="43" spans="1:6" x14ac:dyDescent="0.25">
      <c r="A43" t="s">
        <v>254</v>
      </c>
      <c r="B43">
        <v>0</v>
      </c>
      <c r="C43">
        <v>1</v>
      </c>
      <c r="D43">
        <v>9</v>
      </c>
      <c r="E43">
        <v>15</v>
      </c>
      <c r="F43">
        <f t="shared" si="0"/>
        <v>25</v>
      </c>
    </row>
    <row r="44" spans="1:6" x14ac:dyDescent="0.25">
      <c r="A44" t="s">
        <v>257</v>
      </c>
      <c r="B44">
        <v>0</v>
      </c>
      <c r="C44">
        <v>7850</v>
      </c>
      <c r="D44">
        <v>0</v>
      </c>
      <c r="E44">
        <v>658000</v>
      </c>
      <c r="F44">
        <f t="shared" si="0"/>
        <v>665850</v>
      </c>
    </row>
    <row r="45" spans="1:6" x14ac:dyDescent="0.25">
      <c r="A45" t="s">
        <v>259</v>
      </c>
      <c r="B45">
        <v>0</v>
      </c>
      <c r="C45">
        <v>0</v>
      </c>
      <c r="D45">
        <v>3</v>
      </c>
      <c r="E45">
        <v>6</v>
      </c>
      <c r="F45">
        <v>9</v>
      </c>
    </row>
    <row r="46" spans="1:6" x14ac:dyDescent="0.25">
      <c r="A46" t="s">
        <v>261</v>
      </c>
      <c r="B46">
        <v>0</v>
      </c>
      <c r="C46">
        <v>0</v>
      </c>
      <c r="D46">
        <v>3</v>
      </c>
      <c r="E46">
        <v>6</v>
      </c>
      <c r="F46">
        <v>9</v>
      </c>
    </row>
    <row r="47" spans="1:6" x14ac:dyDescent="0.25">
      <c r="A47" t="s">
        <v>263</v>
      </c>
      <c r="B47">
        <v>0</v>
      </c>
      <c r="C47">
        <v>0</v>
      </c>
      <c r="D47">
        <v>2</v>
      </c>
      <c r="E47">
        <v>30</v>
      </c>
      <c r="F47">
        <v>32</v>
      </c>
    </row>
    <row r="48" spans="1:6" x14ac:dyDescent="0.25">
      <c r="A48" t="s">
        <v>265</v>
      </c>
      <c r="B48">
        <v>0</v>
      </c>
      <c r="C48">
        <v>0</v>
      </c>
      <c r="D48">
        <v>0</v>
      </c>
      <c r="E48">
        <v>0</v>
      </c>
      <c r="F48">
        <v>0</v>
      </c>
    </row>
    <row r="49" spans="1:6" x14ac:dyDescent="0.25">
      <c r="A49" t="s">
        <v>267</v>
      </c>
      <c r="B49">
        <v>0</v>
      </c>
      <c r="C49">
        <v>0</v>
      </c>
      <c r="D49">
        <v>0</v>
      </c>
      <c r="E49">
        <v>0</v>
      </c>
      <c r="F49">
        <v>0</v>
      </c>
    </row>
    <row r="50" spans="1:6" x14ac:dyDescent="0.25">
      <c r="A50" t="s">
        <v>269</v>
      </c>
      <c r="B50">
        <v>0</v>
      </c>
      <c r="C50">
        <v>0</v>
      </c>
      <c r="D50">
        <v>0</v>
      </c>
      <c r="E50">
        <v>0</v>
      </c>
      <c r="F50">
        <v>0</v>
      </c>
    </row>
    <row r="51" spans="1:6" x14ac:dyDescent="0.25">
      <c r="A51" t="s">
        <v>271</v>
      </c>
      <c r="B51">
        <v>0</v>
      </c>
      <c r="C51">
        <v>0</v>
      </c>
      <c r="D51">
        <v>0</v>
      </c>
      <c r="E51">
        <v>0</v>
      </c>
      <c r="F51">
        <v>0</v>
      </c>
    </row>
    <row r="52" spans="1:6" x14ac:dyDescent="0.25">
      <c r="A52" t="s">
        <v>273</v>
      </c>
      <c r="B52">
        <v>0</v>
      </c>
      <c r="C52">
        <v>0</v>
      </c>
      <c r="D52">
        <v>0</v>
      </c>
      <c r="E52">
        <v>0</v>
      </c>
      <c r="F52">
        <v>0</v>
      </c>
    </row>
    <row r="53" spans="1:6" x14ac:dyDescent="0.25">
      <c r="A53" t="s">
        <v>275</v>
      </c>
      <c r="B53">
        <v>0</v>
      </c>
      <c r="C53">
        <v>0</v>
      </c>
      <c r="D53">
        <v>0</v>
      </c>
      <c r="E53">
        <v>0</v>
      </c>
      <c r="F53">
        <v>0</v>
      </c>
    </row>
    <row r="54" spans="1:6" x14ac:dyDescent="0.25">
      <c r="A54" t="s">
        <v>277</v>
      </c>
      <c r="B54">
        <v>0</v>
      </c>
      <c r="C54">
        <v>0</v>
      </c>
      <c r="D54">
        <v>0</v>
      </c>
      <c r="E54">
        <v>21</v>
      </c>
      <c r="F54">
        <v>21</v>
      </c>
    </row>
    <row r="55" spans="1:6" x14ac:dyDescent="0.25">
      <c r="A55" t="s">
        <v>279</v>
      </c>
      <c r="B55">
        <v>0</v>
      </c>
      <c r="C55">
        <v>0</v>
      </c>
      <c r="D55">
        <v>0</v>
      </c>
      <c r="E55">
        <v>318</v>
      </c>
      <c r="F55">
        <v>318</v>
      </c>
    </row>
    <row r="56" spans="1:6" x14ac:dyDescent="0.25">
      <c r="A56" t="s">
        <v>281</v>
      </c>
      <c r="B56">
        <v>0</v>
      </c>
      <c r="C56">
        <v>0</v>
      </c>
      <c r="D56">
        <v>0</v>
      </c>
      <c r="E56">
        <v>0</v>
      </c>
      <c r="F56">
        <v>0</v>
      </c>
    </row>
    <row r="57" spans="1:6" x14ac:dyDescent="0.25">
      <c r="A57" t="s">
        <v>283</v>
      </c>
      <c r="B57">
        <v>0</v>
      </c>
      <c r="C57">
        <v>0</v>
      </c>
      <c r="D57">
        <v>0</v>
      </c>
      <c r="E57">
        <v>0</v>
      </c>
      <c r="F57">
        <v>0</v>
      </c>
    </row>
    <row r="58" spans="1:6" x14ac:dyDescent="0.25">
      <c r="A58" t="s">
        <v>285</v>
      </c>
      <c r="B58">
        <v>0</v>
      </c>
      <c r="C58">
        <v>0</v>
      </c>
      <c r="D58">
        <v>0</v>
      </c>
      <c r="E58">
        <v>0</v>
      </c>
      <c r="F58">
        <v>0</v>
      </c>
    </row>
    <row r="59" spans="1:6" x14ac:dyDescent="0.25">
      <c r="A59" t="s">
        <v>287</v>
      </c>
      <c r="B59">
        <v>0</v>
      </c>
      <c r="C59">
        <v>0</v>
      </c>
      <c r="D59">
        <v>0</v>
      </c>
      <c r="E59">
        <v>5</v>
      </c>
      <c r="F59">
        <v>5</v>
      </c>
    </row>
    <row r="60" spans="1:6" x14ac:dyDescent="0.25">
      <c r="A60" t="s">
        <v>290</v>
      </c>
      <c r="B60">
        <v>0</v>
      </c>
      <c r="C60">
        <v>0</v>
      </c>
      <c r="D60">
        <v>0</v>
      </c>
      <c r="E60">
        <v>0</v>
      </c>
      <c r="F60">
        <v>0</v>
      </c>
    </row>
    <row r="61" spans="1:6" x14ac:dyDescent="0.25">
      <c r="A61" t="s">
        <v>292</v>
      </c>
      <c r="B61">
        <v>0</v>
      </c>
      <c r="C61">
        <v>0</v>
      </c>
      <c r="D61">
        <v>0</v>
      </c>
      <c r="E61">
        <v>0</v>
      </c>
      <c r="F61">
        <v>0</v>
      </c>
    </row>
    <row r="62" spans="1:6" x14ac:dyDescent="0.25">
      <c r="A62" t="s">
        <v>294</v>
      </c>
      <c r="B62">
        <v>0</v>
      </c>
      <c r="C62">
        <v>0</v>
      </c>
      <c r="D62">
        <v>1</v>
      </c>
      <c r="E62">
        <v>3</v>
      </c>
      <c r="F62">
        <v>4</v>
      </c>
    </row>
  </sheetData>
  <mergeCells count="1">
    <mergeCell ref="B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1C6B3-BB7D-4054-9B44-3E0FDDD5A933}">
  <dimension ref="A1:O64"/>
  <sheetViews>
    <sheetView workbookViewId="0">
      <selection activeCell="S25" sqref="S25"/>
    </sheetView>
  </sheetViews>
  <sheetFormatPr defaultRowHeight="15" x14ac:dyDescent="0.25"/>
  <cols>
    <col min="1" max="1" width="12.7109375" bestFit="1" customWidth="1"/>
    <col min="2" max="2" width="15.7109375" bestFit="1" customWidth="1"/>
    <col min="3" max="3" width="3" bestFit="1" customWidth="1"/>
    <col min="4" max="5" width="4" bestFit="1" customWidth="1"/>
    <col min="6" max="6" width="3" bestFit="1" customWidth="1"/>
    <col min="7" max="7" width="11" bestFit="1" customWidth="1"/>
    <col min="9" max="9" width="11.28515625" bestFit="1" customWidth="1"/>
  </cols>
  <sheetData>
    <row r="1" spans="1:15" x14ac:dyDescent="0.25">
      <c r="A1" s="27" t="s">
        <v>861</v>
      </c>
      <c r="B1" s="27" t="s">
        <v>851</v>
      </c>
      <c r="J1" s="413" t="s">
        <v>862</v>
      </c>
      <c r="K1" s="413"/>
      <c r="L1" s="413"/>
      <c r="M1" s="413"/>
      <c r="N1" s="413"/>
    </row>
    <row r="2" spans="1:15" x14ac:dyDescent="0.25">
      <c r="A2" s="27" t="s">
        <v>852</v>
      </c>
      <c r="B2">
        <v>7</v>
      </c>
      <c r="C2">
        <v>8</v>
      </c>
      <c r="D2">
        <v>9</v>
      </c>
      <c r="E2">
        <v>10</v>
      </c>
      <c r="F2">
        <v>11</v>
      </c>
      <c r="G2" t="s">
        <v>853</v>
      </c>
      <c r="I2" t="s">
        <v>436</v>
      </c>
      <c r="J2">
        <v>7</v>
      </c>
      <c r="K2">
        <v>8</v>
      </c>
      <c r="L2">
        <v>9</v>
      </c>
      <c r="M2">
        <v>10</v>
      </c>
      <c r="N2">
        <v>11</v>
      </c>
      <c r="O2" t="s">
        <v>863</v>
      </c>
    </row>
    <row r="3" spans="1:15" x14ac:dyDescent="0.25">
      <c r="A3" s="28" t="s">
        <v>164</v>
      </c>
      <c r="B3">
        <v>3</v>
      </c>
      <c r="C3">
        <v>23</v>
      </c>
      <c r="D3">
        <v>39</v>
      </c>
      <c r="E3">
        <v>24</v>
      </c>
      <c r="F3">
        <v>4</v>
      </c>
      <c r="G3">
        <v>93</v>
      </c>
      <c r="I3" t="s">
        <v>164</v>
      </c>
      <c r="J3">
        <v>3</v>
      </c>
      <c r="K3">
        <v>23</v>
      </c>
      <c r="L3">
        <v>39</v>
      </c>
      <c r="M3">
        <v>24</v>
      </c>
      <c r="N3">
        <v>5</v>
      </c>
      <c r="O3">
        <f>SUM(J3:N3)</f>
        <v>94</v>
      </c>
    </row>
    <row r="4" spans="1:15" x14ac:dyDescent="0.25">
      <c r="A4" s="28" t="s">
        <v>843</v>
      </c>
      <c r="F4">
        <v>1</v>
      </c>
      <c r="G4">
        <v>1</v>
      </c>
      <c r="I4" t="s">
        <v>167</v>
      </c>
      <c r="M4">
        <v>4</v>
      </c>
      <c r="N4">
        <v>1</v>
      </c>
      <c r="O4">
        <f t="shared" ref="O4:O41" si="0">SUM(J4:N4)</f>
        <v>5</v>
      </c>
    </row>
    <row r="5" spans="1:15" x14ac:dyDescent="0.25">
      <c r="A5" s="28" t="s">
        <v>167</v>
      </c>
      <c r="E5">
        <v>4</v>
      </c>
      <c r="F5">
        <v>1</v>
      </c>
      <c r="G5">
        <v>5</v>
      </c>
      <c r="I5" t="s">
        <v>169</v>
      </c>
      <c r="K5">
        <v>6</v>
      </c>
      <c r="L5">
        <v>21</v>
      </c>
      <c r="M5">
        <v>18</v>
      </c>
      <c r="N5">
        <v>6</v>
      </c>
      <c r="O5">
        <f t="shared" si="0"/>
        <v>51</v>
      </c>
    </row>
    <row r="6" spans="1:15" x14ac:dyDescent="0.25">
      <c r="A6" s="28" t="s">
        <v>169</v>
      </c>
      <c r="C6">
        <v>6</v>
      </c>
      <c r="D6">
        <v>21</v>
      </c>
      <c r="E6">
        <v>18</v>
      </c>
      <c r="F6">
        <v>2</v>
      </c>
      <c r="G6">
        <v>47</v>
      </c>
      <c r="I6" t="s">
        <v>171</v>
      </c>
      <c r="L6">
        <v>3</v>
      </c>
      <c r="M6">
        <v>12</v>
      </c>
      <c r="N6">
        <v>3</v>
      </c>
      <c r="O6">
        <f t="shared" si="0"/>
        <v>18</v>
      </c>
    </row>
    <row r="7" spans="1:15" x14ac:dyDescent="0.25">
      <c r="A7" s="28" t="s">
        <v>830</v>
      </c>
      <c r="F7">
        <v>4</v>
      </c>
      <c r="G7">
        <v>4</v>
      </c>
      <c r="I7" t="s">
        <v>174</v>
      </c>
      <c r="L7">
        <v>3</v>
      </c>
      <c r="M7">
        <v>4</v>
      </c>
      <c r="O7">
        <f t="shared" si="0"/>
        <v>7</v>
      </c>
    </row>
    <row r="8" spans="1:15" x14ac:dyDescent="0.25">
      <c r="A8" s="28" t="s">
        <v>171</v>
      </c>
      <c r="D8">
        <v>3</v>
      </c>
      <c r="E8">
        <v>12</v>
      </c>
      <c r="G8">
        <v>15</v>
      </c>
      <c r="I8" t="s">
        <v>179</v>
      </c>
      <c r="K8">
        <v>2</v>
      </c>
      <c r="L8">
        <v>9</v>
      </c>
      <c r="M8">
        <v>6</v>
      </c>
      <c r="N8">
        <v>5</v>
      </c>
      <c r="O8">
        <f t="shared" si="0"/>
        <v>22</v>
      </c>
    </row>
    <row r="9" spans="1:15" x14ac:dyDescent="0.25">
      <c r="A9" s="28" t="s">
        <v>846</v>
      </c>
      <c r="F9">
        <v>1</v>
      </c>
      <c r="G9">
        <v>1</v>
      </c>
      <c r="I9" t="s">
        <v>188</v>
      </c>
      <c r="K9">
        <v>3</v>
      </c>
      <c r="L9">
        <v>9</v>
      </c>
      <c r="M9">
        <v>14</v>
      </c>
      <c r="N9">
        <v>2</v>
      </c>
      <c r="O9">
        <f t="shared" si="0"/>
        <v>28</v>
      </c>
    </row>
    <row r="10" spans="1:15" x14ac:dyDescent="0.25">
      <c r="A10" s="28" t="s">
        <v>826</v>
      </c>
      <c r="E10">
        <v>2</v>
      </c>
      <c r="F10">
        <v>2</v>
      </c>
      <c r="G10">
        <v>4</v>
      </c>
      <c r="I10" t="s">
        <v>190</v>
      </c>
      <c r="L10">
        <v>9</v>
      </c>
      <c r="M10">
        <v>8</v>
      </c>
      <c r="N10">
        <v>5</v>
      </c>
      <c r="O10">
        <f t="shared" si="0"/>
        <v>22</v>
      </c>
    </row>
    <row r="11" spans="1:15" x14ac:dyDescent="0.25">
      <c r="A11" s="28" t="s">
        <v>174</v>
      </c>
      <c r="D11">
        <v>3</v>
      </c>
      <c r="E11">
        <v>4</v>
      </c>
      <c r="G11">
        <v>7</v>
      </c>
      <c r="I11" t="s">
        <v>192</v>
      </c>
      <c r="L11">
        <v>3</v>
      </c>
      <c r="M11">
        <v>2</v>
      </c>
      <c r="O11">
        <f t="shared" si="0"/>
        <v>5</v>
      </c>
    </row>
    <row r="12" spans="1:15" x14ac:dyDescent="0.25">
      <c r="A12" s="28" t="s">
        <v>179</v>
      </c>
      <c r="C12">
        <v>2</v>
      </c>
      <c r="D12">
        <v>9</v>
      </c>
      <c r="E12">
        <v>6</v>
      </c>
      <c r="G12">
        <v>17</v>
      </c>
      <c r="I12" t="s">
        <v>195</v>
      </c>
      <c r="M12">
        <v>2</v>
      </c>
      <c r="O12">
        <f t="shared" si="0"/>
        <v>2</v>
      </c>
    </row>
    <row r="13" spans="1:15" x14ac:dyDescent="0.25">
      <c r="A13" s="28" t="s">
        <v>829</v>
      </c>
      <c r="F13">
        <v>5</v>
      </c>
      <c r="G13">
        <v>5</v>
      </c>
      <c r="I13" t="s">
        <v>197</v>
      </c>
      <c r="L13">
        <v>3</v>
      </c>
      <c r="M13">
        <v>6</v>
      </c>
      <c r="N13">
        <v>2</v>
      </c>
      <c r="O13">
        <f t="shared" si="0"/>
        <v>11</v>
      </c>
    </row>
    <row r="14" spans="1:15" x14ac:dyDescent="0.25">
      <c r="A14" s="28" t="s">
        <v>188</v>
      </c>
      <c r="C14">
        <v>3</v>
      </c>
      <c r="D14">
        <v>9</v>
      </c>
      <c r="E14">
        <v>14</v>
      </c>
      <c r="F14">
        <v>2</v>
      </c>
      <c r="G14">
        <v>28</v>
      </c>
      <c r="I14" t="s">
        <v>199</v>
      </c>
      <c r="K14">
        <v>3</v>
      </c>
      <c r="O14">
        <f t="shared" si="0"/>
        <v>3</v>
      </c>
    </row>
    <row r="15" spans="1:15" x14ac:dyDescent="0.25">
      <c r="A15" s="28" t="s">
        <v>190</v>
      </c>
      <c r="D15">
        <v>9</v>
      </c>
      <c r="E15">
        <v>8</v>
      </c>
      <c r="F15">
        <v>3</v>
      </c>
      <c r="G15">
        <v>20</v>
      </c>
      <c r="I15" t="s">
        <v>207</v>
      </c>
      <c r="L15">
        <v>3</v>
      </c>
      <c r="O15">
        <f t="shared" si="0"/>
        <v>3</v>
      </c>
    </row>
    <row r="16" spans="1:15" x14ac:dyDescent="0.25">
      <c r="A16" s="28" t="s">
        <v>831</v>
      </c>
      <c r="F16">
        <v>2</v>
      </c>
      <c r="G16">
        <v>2</v>
      </c>
      <c r="I16" t="s">
        <v>210</v>
      </c>
      <c r="L16">
        <v>3</v>
      </c>
      <c r="N16">
        <v>4</v>
      </c>
      <c r="O16">
        <f t="shared" si="0"/>
        <v>7</v>
      </c>
    </row>
    <row r="17" spans="1:15" x14ac:dyDescent="0.25">
      <c r="A17" s="28" t="s">
        <v>192</v>
      </c>
      <c r="D17">
        <v>3</v>
      </c>
      <c r="E17">
        <v>2</v>
      </c>
      <c r="G17">
        <v>5</v>
      </c>
      <c r="I17" t="s">
        <v>215</v>
      </c>
      <c r="K17">
        <v>6</v>
      </c>
      <c r="L17">
        <v>24</v>
      </c>
      <c r="M17">
        <v>8</v>
      </c>
      <c r="N17">
        <v>1</v>
      </c>
      <c r="O17">
        <f t="shared" si="0"/>
        <v>39</v>
      </c>
    </row>
    <row r="18" spans="1:15" x14ac:dyDescent="0.25">
      <c r="A18" s="28" t="s">
        <v>195</v>
      </c>
      <c r="E18">
        <v>2</v>
      </c>
      <c r="G18">
        <v>2</v>
      </c>
      <c r="I18" t="s">
        <v>217</v>
      </c>
      <c r="K18">
        <v>2</v>
      </c>
      <c r="L18">
        <v>6</v>
      </c>
      <c r="M18">
        <v>8</v>
      </c>
      <c r="N18">
        <v>1</v>
      </c>
      <c r="O18">
        <f t="shared" si="0"/>
        <v>17</v>
      </c>
    </row>
    <row r="19" spans="1:15" x14ac:dyDescent="0.25">
      <c r="A19" s="28" t="s">
        <v>197</v>
      </c>
      <c r="D19">
        <v>3</v>
      </c>
      <c r="E19">
        <v>6</v>
      </c>
      <c r="G19">
        <v>9</v>
      </c>
      <c r="I19" t="s">
        <v>219</v>
      </c>
      <c r="L19">
        <v>3</v>
      </c>
      <c r="M19">
        <v>6</v>
      </c>
      <c r="N19">
        <v>2</v>
      </c>
      <c r="O19">
        <f t="shared" si="0"/>
        <v>11</v>
      </c>
    </row>
    <row r="20" spans="1:15" x14ac:dyDescent="0.25">
      <c r="A20" s="28" t="s">
        <v>844</v>
      </c>
      <c r="F20">
        <v>2</v>
      </c>
      <c r="G20">
        <v>2</v>
      </c>
      <c r="I20" t="s">
        <v>221</v>
      </c>
      <c r="M20">
        <v>4</v>
      </c>
      <c r="O20">
        <f t="shared" si="0"/>
        <v>4</v>
      </c>
    </row>
    <row r="21" spans="1:15" x14ac:dyDescent="0.25">
      <c r="A21" s="28" t="s">
        <v>199</v>
      </c>
      <c r="C21">
        <v>3</v>
      </c>
      <c r="G21">
        <v>3</v>
      </c>
      <c r="I21" t="s">
        <v>223</v>
      </c>
      <c r="L21">
        <v>3</v>
      </c>
      <c r="M21">
        <v>12</v>
      </c>
      <c r="N21">
        <v>4</v>
      </c>
      <c r="O21">
        <f t="shared" si="0"/>
        <v>19</v>
      </c>
    </row>
    <row r="22" spans="1:15" x14ac:dyDescent="0.25">
      <c r="A22" s="28" t="s">
        <v>207</v>
      </c>
      <c r="D22">
        <v>3</v>
      </c>
      <c r="G22">
        <v>3</v>
      </c>
      <c r="I22" t="s">
        <v>560</v>
      </c>
      <c r="N22">
        <v>1</v>
      </c>
      <c r="O22">
        <f t="shared" si="0"/>
        <v>1</v>
      </c>
    </row>
    <row r="23" spans="1:15" x14ac:dyDescent="0.25">
      <c r="A23" s="28" t="s">
        <v>210</v>
      </c>
      <c r="D23">
        <v>3</v>
      </c>
      <c r="F23">
        <v>2</v>
      </c>
      <c r="G23">
        <v>5</v>
      </c>
      <c r="I23" t="s">
        <v>227</v>
      </c>
      <c r="L23">
        <v>3</v>
      </c>
      <c r="N23">
        <v>2</v>
      </c>
      <c r="O23">
        <f t="shared" si="0"/>
        <v>5</v>
      </c>
    </row>
    <row r="24" spans="1:15" x14ac:dyDescent="0.25">
      <c r="A24" s="28" t="s">
        <v>832</v>
      </c>
      <c r="F24">
        <v>2</v>
      </c>
      <c r="G24">
        <v>2</v>
      </c>
      <c r="I24" t="s">
        <v>230</v>
      </c>
      <c r="K24">
        <v>2</v>
      </c>
      <c r="L24">
        <v>3</v>
      </c>
      <c r="M24">
        <v>2</v>
      </c>
      <c r="N24">
        <v>2</v>
      </c>
      <c r="O24">
        <f t="shared" si="0"/>
        <v>9</v>
      </c>
    </row>
    <row r="25" spans="1:15" x14ac:dyDescent="0.25">
      <c r="A25" s="28" t="s">
        <v>215</v>
      </c>
      <c r="C25">
        <v>6</v>
      </c>
      <c r="D25">
        <v>24</v>
      </c>
      <c r="E25">
        <v>8</v>
      </c>
      <c r="G25">
        <v>38</v>
      </c>
      <c r="I25" t="s">
        <v>232</v>
      </c>
      <c r="M25">
        <v>2</v>
      </c>
      <c r="N25">
        <v>1</v>
      </c>
      <c r="O25">
        <f t="shared" si="0"/>
        <v>3</v>
      </c>
    </row>
    <row r="26" spans="1:15" x14ac:dyDescent="0.25">
      <c r="A26" s="28" t="s">
        <v>840</v>
      </c>
      <c r="F26">
        <v>1</v>
      </c>
      <c r="G26">
        <v>1</v>
      </c>
      <c r="I26" t="s">
        <v>238</v>
      </c>
      <c r="L26">
        <v>6</v>
      </c>
      <c r="M26">
        <v>10</v>
      </c>
      <c r="N26">
        <v>4</v>
      </c>
      <c r="O26">
        <f t="shared" si="0"/>
        <v>20</v>
      </c>
    </row>
    <row r="27" spans="1:15" x14ac:dyDescent="0.25">
      <c r="A27" s="28" t="s">
        <v>217</v>
      </c>
      <c r="C27">
        <v>2</v>
      </c>
      <c r="D27">
        <v>6</v>
      </c>
      <c r="E27">
        <v>8</v>
      </c>
      <c r="F27">
        <v>1</v>
      </c>
      <c r="G27">
        <v>17</v>
      </c>
      <c r="I27" t="s">
        <v>240</v>
      </c>
      <c r="L27">
        <v>3</v>
      </c>
      <c r="M27">
        <v>2</v>
      </c>
      <c r="N27">
        <v>1</v>
      </c>
      <c r="O27">
        <f t="shared" si="0"/>
        <v>6</v>
      </c>
    </row>
    <row r="28" spans="1:15" x14ac:dyDescent="0.25">
      <c r="A28" s="28" t="s">
        <v>219</v>
      </c>
      <c r="D28">
        <v>3</v>
      </c>
      <c r="E28">
        <v>6</v>
      </c>
      <c r="F28">
        <v>1</v>
      </c>
      <c r="G28">
        <v>10</v>
      </c>
      <c r="I28" t="s">
        <v>243</v>
      </c>
      <c r="L28">
        <v>3</v>
      </c>
      <c r="M28">
        <v>2</v>
      </c>
      <c r="N28">
        <v>1</v>
      </c>
      <c r="O28">
        <f t="shared" si="0"/>
        <v>6</v>
      </c>
    </row>
    <row r="29" spans="1:15" x14ac:dyDescent="0.25">
      <c r="A29" s="28" t="s">
        <v>833</v>
      </c>
      <c r="F29">
        <v>1</v>
      </c>
      <c r="G29">
        <v>1</v>
      </c>
      <c r="I29" t="s">
        <v>245</v>
      </c>
      <c r="K29">
        <v>2</v>
      </c>
      <c r="L29">
        <v>6</v>
      </c>
      <c r="M29">
        <v>10</v>
      </c>
      <c r="N29">
        <v>3</v>
      </c>
      <c r="O29">
        <f t="shared" si="0"/>
        <v>21</v>
      </c>
    </row>
    <row r="30" spans="1:15" x14ac:dyDescent="0.25">
      <c r="A30" s="28" t="s">
        <v>221</v>
      </c>
      <c r="E30">
        <v>4</v>
      </c>
      <c r="G30">
        <v>4</v>
      </c>
      <c r="I30" t="s">
        <v>247</v>
      </c>
      <c r="K30">
        <v>2</v>
      </c>
      <c r="L30">
        <v>6</v>
      </c>
      <c r="M30">
        <v>2</v>
      </c>
      <c r="N30">
        <v>2</v>
      </c>
      <c r="O30">
        <f t="shared" si="0"/>
        <v>12</v>
      </c>
    </row>
    <row r="31" spans="1:15" x14ac:dyDescent="0.25">
      <c r="A31" s="28" t="s">
        <v>223</v>
      </c>
      <c r="D31">
        <v>3</v>
      </c>
      <c r="E31">
        <v>10</v>
      </c>
      <c r="G31">
        <v>13</v>
      </c>
      <c r="I31" t="s">
        <v>250</v>
      </c>
      <c r="K31">
        <v>15</v>
      </c>
      <c r="L31">
        <v>12</v>
      </c>
      <c r="M31">
        <v>10</v>
      </c>
      <c r="N31">
        <v>3</v>
      </c>
      <c r="O31">
        <f t="shared" si="0"/>
        <v>40</v>
      </c>
    </row>
    <row r="32" spans="1:15" x14ac:dyDescent="0.25">
      <c r="A32" s="28" t="s">
        <v>827</v>
      </c>
      <c r="E32">
        <v>2</v>
      </c>
      <c r="F32">
        <v>4</v>
      </c>
      <c r="G32">
        <v>6</v>
      </c>
      <c r="I32" t="s">
        <v>252</v>
      </c>
      <c r="K32">
        <v>3</v>
      </c>
      <c r="L32">
        <v>3</v>
      </c>
      <c r="N32">
        <v>3</v>
      </c>
      <c r="O32">
        <f t="shared" si="0"/>
        <v>9</v>
      </c>
    </row>
    <row r="33" spans="1:15" x14ac:dyDescent="0.25">
      <c r="A33" s="28" t="s">
        <v>560</v>
      </c>
      <c r="F33">
        <v>1</v>
      </c>
      <c r="G33">
        <v>1</v>
      </c>
      <c r="I33" t="s">
        <v>254</v>
      </c>
      <c r="K33">
        <v>5</v>
      </c>
      <c r="L33">
        <v>3</v>
      </c>
      <c r="M33">
        <v>2</v>
      </c>
      <c r="N33">
        <v>4</v>
      </c>
      <c r="O33">
        <f t="shared" si="0"/>
        <v>14</v>
      </c>
    </row>
    <row r="34" spans="1:15" x14ac:dyDescent="0.25">
      <c r="A34" s="28" t="s">
        <v>227</v>
      </c>
      <c r="D34">
        <v>3</v>
      </c>
      <c r="F34">
        <v>1</v>
      </c>
      <c r="G34">
        <v>4</v>
      </c>
      <c r="I34" t="s">
        <v>257</v>
      </c>
      <c r="K34">
        <v>3</v>
      </c>
      <c r="L34">
        <v>6</v>
      </c>
      <c r="M34">
        <v>2</v>
      </c>
      <c r="N34">
        <v>1</v>
      </c>
      <c r="O34">
        <f t="shared" si="0"/>
        <v>12</v>
      </c>
    </row>
    <row r="35" spans="1:15" x14ac:dyDescent="0.25">
      <c r="A35" s="28" t="s">
        <v>834</v>
      </c>
      <c r="F35">
        <v>1</v>
      </c>
      <c r="G35">
        <v>1</v>
      </c>
      <c r="I35" t="s">
        <v>259</v>
      </c>
      <c r="M35">
        <v>2</v>
      </c>
      <c r="N35">
        <v>1</v>
      </c>
      <c r="O35">
        <f t="shared" si="0"/>
        <v>3</v>
      </c>
    </row>
    <row r="36" spans="1:15" x14ac:dyDescent="0.25">
      <c r="A36" s="28" t="s">
        <v>230</v>
      </c>
      <c r="C36">
        <v>2</v>
      </c>
      <c r="D36">
        <v>3</v>
      </c>
      <c r="E36">
        <v>2</v>
      </c>
      <c r="F36">
        <v>1</v>
      </c>
      <c r="G36">
        <v>8</v>
      </c>
      <c r="I36" t="s">
        <v>261</v>
      </c>
      <c r="M36">
        <v>6</v>
      </c>
      <c r="N36">
        <v>1</v>
      </c>
      <c r="O36">
        <f t="shared" si="0"/>
        <v>7</v>
      </c>
    </row>
    <row r="37" spans="1:15" x14ac:dyDescent="0.25">
      <c r="A37" s="28" t="s">
        <v>841</v>
      </c>
      <c r="F37">
        <v>1</v>
      </c>
      <c r="G37">
        <v>1</v>
      </c>
      <c r="I37" t="s">
        <v>263</v>
      </c>
      <c r="M37">
        <v>4</v>
      </c>
      <c r="N37">
        <v>3</v>
      </c>
      <c r="O37">
        <f t="shared" si="0"/>
        <v>7</v>
      </c>
    </row>
    <row r="38" spans="1:15" x14ac:dyDescent="0.25">
      <c r="A38" s="28" t="s">
        <v>232</v>
      </c>
      <c r="E38">
        <v>2</v>
      </c>
      <c r="F38">
        <v>1</v>
      </c>
      <c r="G38">
        <v>3</v>
      </c>
      <c r="I38" t="s">
        <v>277</v>
      </c>
      <c r="N38">
        <v>1</v>
      </c>
      <c r="O38">
        <f t="shared" si="0"/>
        <v>1</v>
      </c>
    </row>
    <row r="39" spans="1:15" x14ac:dyDescent="0.25">
      <c r="A39" s="28" t="s">
        <v>238</v>
      </c>
      <c r="D39">
        <v>6</v>
      </c>
      <c r="E39">
        <v>10</v>
      </c>
      <c r="G39">
        <v>16</v>
      </c>
      <c r="I39" t="s">
        <v>279</v>
      </c>
      <c r="M39">
        <v>2</v>
      </c>
      <c r="N39">
        <v>4</v>
      </c>
      <c r="O39">
        <f t="shared" si="0"/>
        <v>6</v>
      </c>
    </row>
    <row r="40" spans="1:15" x14ac:dyDescent="0.25">
      <c r="A40" s="28" t="s">
        <v>828</v>
      </c>
      <c r="F40">
        <v>4</v>
      </c>
      <c r="G40">
        <v>4</v>
      </c>
      <c r="I40" t="s">
        <v>287</v>
      </c>
      <c r="N40">
        <v>1</v>
      </c>
      <c r="O40">
        <f t="shared" si="0"/>
        <v>1</v>
      </c>
    </row>
    <row r="41" spans="1:15" x14ac:dyDescent="0.25">
      <c r="A41" s="28" t="s">
        <v>240</v>
      </c>
      <c r="D41">
        <v>3</v>
      </c>
      <c r="E41">
        <v>2</v>
      </c>
      <c r="F41">
        <v>1</v>
      </c>
      <c r="G41">
        <v>6</v>
      </c>
      <c r="I41" t="s">
        <v>294</v>
      </c>
      <c r="M41">
        <v>2</v>
      </c>
      <c r="N41">
        <v>1</v>
      </c>
      <c r="O41">
        <f t="shared" si="0"/>
        <v>3</v>
      </c>
    </row>
    <row r="42" spans="1:15" x14ac:dyDescent="0.25">
      <c r="A42" s="28" t="s">
        <v>243</v>
      </c>
      <c r="D42">
        <v>3</v>
      </c>
      <c r="E42">
        <v>2</v>
      </c>
      <c r="G42">
        <v>5</v>
      </c>
    </row>
    <row r="43" spans="1:15" x14ac:dyDescent="0.25">
      <c r="A43" s="28" t="s">
        <v>847</v>
      </c>
      <c r="F43">
        <v>1</v>
      </c>
      <c r="G43">
        <v>1</v>
      </c>
    </row>
    <row r="44" spans="1:15" x14ac:dyDescent="0.25">
      <c r="A44" s="28" t="s">
        <v>245</v>
      </c>
      <c r="C44">
        <v>2</v>
      </c>
      <c r="D44">
        <v>6</v>
      </c>
      <c r="E44">
        <v>10</v>
      </c>
      <c r="F44">
        <v>1</v>
      </c>
      <c r="G44">
        <v>19</v>
      </c>
    </row>
    <row r="45" spans="1:15" x14ac:dyDescent="0.25">
      <c r="A45" s="28" t="s">
        <v>835</v>
      </c>
      <c r="F45">
        <v>2</v>
      </c>
      <c r="G45">
        <v>2</v>
      </c>
    </row>
    <row r="46" spans="1:15" x14ac:dyDescent="0.25">
      <c r="A46" s="28" t="s">
        <v>247</v>
      </c>
      <c r="C46">
        <v>2</v>
      </c>
      <c r="D46">
        <v>6</v>
      </c>
      <c r="E46">
        <v>2</v>
      </c>
      <c r="G46">
        <v>10</v>
      </c>
    </row>
    <row r="47" spans="1:15" x14ac:dyDescent="0.25">
      <c r="A47" s="28" t="s">
        <v>842</v>
      </c>
      <c r="F47">
        <v>2</v>
      </c>
      <c r="G47">
        <v>2</v>
      </c>
    </row>
    <row r="48" spans="1:15" x14ac:dyDescent="0.25">
      <c r="A48" s="28" t="s">
        <v>250</v>
      </c>
      <c r="C48">
        <v>15</v>
      </c>
      <c r="D48">
        <v>12</v>
      </c>
      <c r="E48">
        <v>10</v>
      </c>
      <c r="F48">
        <v>1</v>
      </c>
      <c r="G48">
        <v>38</v>
      </c>
    </row>
    <row r="49" spans="1:7" x14ac:dyDescent="0.25">
      <c r="A49" s="28" t="s">
        <v>836</v>
      </c>
      <c r="F49">
        <v>2</v>
      </c>
      <c r="G49">
        <v>2</v>
      </c>
    </row>
    <row r="50" spans="1:7" x14ac:dyDescent="0.25">
      <c r="A50" s="28" t="s">
        <v>252</v>
      </c>
      <c r="C50">
        <v>3</v>
      </c>
      <c r="D50">
        <v>3</v>
      </c>
      <c r="F50">
        <v>1</v>
      </c>
      <c r="G50">
        <v>7</v>
      </c>
    </row>
    <row r="51" spans="1:7" x14ac:dyDescent="0.25">
      <c r="A51" s="28" t="s">
        <v>837</v>
      </c>
      <c r="F51">
        <v>2</v>
      </c>
      <c r="G51">
        <v>2</v>
      </c>
    </row>
    <row r="52" spans="1:7" x14ac:dyDescent="0.25">
      <c r="A52" s="28" t="s">
        <v>254</v>
      </c>
      <c r="C52">
        <v>5</v>
      </c>
      <c r="D52">
        <v>3</v>
      </c>
      <c r="E52">
        <v>2</v>
      </c>
      <c r="F52">
        <v>2</v>
      </c>
      <c r="G52">
        <v>12</v>
      </c>
    </row>
    <row r="53" spans="1:7" x14ac:dyDescent="0.25">
      <c r="A53" s="28" t="s">
        <v>838</v>
      </c>
      <c r="F53">
        <v>2</v>
      </c>
      <c r="G53">
        <v>2</v>
      </c>
    </row>
    <row r="54" spans="1:7" x14ac:dyDescent="0.25">
      <c r="A54" s="28" t="s">
        <v>257</v>
      </c>
      <c r="C54">
        <v>3</v>
      </c>
      <c r="D54">
        <v>6</v>
      </c>
      <c r="E54">
        <v>2</v>
      </c>
      <c r="G54">
        <v>11</v>
      </c>
    </row>
    <row r="55" spans="1:7" x14ac:dyDescent="0.25">
      <c r="A55" s="28" t="s">
        <v>839</v>
      </c>
      <c r="F55">
        <v>1</v>
      </c>
      <c r="G55">
        <v>1</v>
      </c>
    </row>
    <row r="56" spans="1:7" x14ac:dyDescent="0.25">
      <c r="A56" s="28" t="s">
        <v>259</v>
      </c>
      <c r="E56">
        <v>2</v>
      </c>
      <c r="F56">
        <v>1</v>
      </c>
      <c r="G56">
        <v>3</v>
      </c>
    </row>
    <row r="57" spans="1:7" x14ac:dyDescent="0.25">
      <c r="A57" s="28" t="s">
        <v>261</v>
      </c>
      <c r="E57">
        <v>6</v>
      </c>
      <c r="F57">
        <v>1</v>
      </c>
      <c r="G57">
        <v>7</v>
      </c>
    </row>
    <row r="58" spans="1:7" x14ac:dyDescent="0.25">
      <c r="A58" s="28" t="s">
        <v>263</v>
      </c>
      <c r="E58">
        <v>4</v>
      </c>
      <c r="F58">
        <v>3</v>
      </c>
      <c r="G58">
        <v>7</v>
      </c>
    </row>
    <row r="59" spans="1:7" x14ac:dyDescent="0.25">
      <c r="A59" s="28" t="s">
        <v>277</v>
      </c>
      <c r="F59">
        <v>1</v>
      </c>
      <c r="G59">
        <v>1</v>
      </c>
    </row>
    <row r="60" spans="1:7" x14ac:dyDescent="0.25">
      <c r="A60" s="28" t="s">
        <v>279</v>
      </c>
      <c r="E60">
        <v>2</v>
      </c>
      <c r="F60">
        <v>3</v>
      </c>
      <c r="G60">
        <v>5</v>
      </c>
    </row>
    <row r="61" spans="1:7" x14ac:dyDescent="0.25">
      <c r="A61" s="28" t="s">
        <v>845</v>
      </c>
      <c r="F61">
        <v>1</v>
      </c>
      <c r="G61">
        <v>1</v>
      </c>
    </row>
    <row r="62" spans="1:7" x14ac:dyDescent="0.25">
      <c r="A62" s="28" t="s">
        <v>287</v>
      </c>
      <c r="F62">
        <v>1</v>
      </c>
      <c r="G62">
        <v>1</v>
      </c>
    </row>
    <row r="63" spans="1:7" x14ac:dyDescent="0.25">
      <c r="A63" s="28" t="s">
        <v>294</v>
      </c>
      <c r="E63">
        <v>2</v>
      </c>
      <c r="F63">
        <v>1</v>
      </c>
      <c r="G63">
        <v>3</v>
      </c>
    </row>
    <row r="64" spans="1:7" x14ac:dyDescent="0.25">
      <c r="A64" s="28" t="s">
        <v>853</v>
      </c>
      <c r="B64">
        <v>3</v>
      </c>
      <c r="C64">
        <v>77</v>
      </c>
      <c r="D64">
        <v>195</v>
      </c>
      <c r="E64">
        <v>200</v>
      </c>
      <c r="F64">
        <v>81</v>
      </c>
      <c r="G64">
        <v>556</v>
      </c>
    </row>
  </sheetData>
  <mergeCells count="1">
    <mergeCell ref="J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859425AF13DCC44AA5BC10E160BABC4" ma:contentTypeVersion="67" ma:contentTypeDescription="new Document or upload" ma:contentTypeScope="" ma:versionID="2639deb8b58da538607b138503f962af">
  <xsd:schema xmlns:xsd="http://www.w3.org/2001/XMLSchema" xmlns:xs="http://www.w3.org/2001/XMLSchema" xmlns:p="http://schemas.microsoft.com/office/2006/metadata/properties" xmlns:ns2="662745e8-e224-48e8-a2e3-254862b8c2f5" xmlns:ns3="0ef066cc-94ac-45e1-833c-3a1ad32ad946" xmlns:ns4="ce19842e-cb33-48b7-9156-cae6be609397" targetNamespace="http://schemas.microsoft.com/office/2006/metadata/properties" ma:root="true" ma:fieldsID="9302e976d19e22f59616906640484af5" ns2:_="" ns3:_="" ns4:_="">
    <xsd:import namespace="662745e8-e224-48e8-a2e3-254862b8c2f5"/>
    <xsd:import namespace="0ef066cc-94ac-45e1-833c-3a1ad32ad946"/>
    <xsd:import namespace="ce19842e-cb33-48b7-9156-cae6be60939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4:peb8f3fab875401ca34a9f28cac46400" minOccurs="0"/>
                <xsd:element ref="ns4:dlc_EmailReceivedUTC" minOccurs="0"/>
                <xsd:element ref="ns4:dlc_EmailCC" minOccurs="0"/>
                <xsd:element ref="ns4:dlc_EmailFrom" minOccurs="0"/>
                <xsd:element ref="ns4:bcb1675984d34ae3a1ed6b6e433c98de" minOccurs="0"/>
                <xsd:element ref="ns4:dlc_EmailSentUTC" minOccurs="0"/>
                <xsd:element ref="ns4:dlc_EmailTo" minOccurs="0"/>
                <xsd:element ref="ns4:dlc_EmailSubject"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af23d00-4d48-4f13-8a5f-85d33a9c5360}" ma:internalName="TaxCatchAll" ma:readOnly="false" ma:showField="CatchAllData"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af23d00-4d48-4f13-8a5f-85d33a9c5360}" ma:internalName="TaxCatchAllLabel" ma:readOnly="false" ma:showField="CatchAllDataLabel"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readOnly="fals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readOnly="fals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oils" ma:internalName="Team" ma:readOnly="false">
      <xsd:simpleType>
        <xsd:restriction base="dms:Text"/>
      </xsd:simpleType>
    </xsd:element>
    <xsd:element name="Topic" ma:index="20" nillable="true" ma:displayName="Topic" ma:default="Peatlands and Soil Carbon"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f066cc-94ac-45e1-833c-3a1ad32ad946"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LengthInSeconds" ma:index="30" nillable="true" ma:displayName="Length (seconds)" ma:internalName="MediaLengthInSeconds" ma:readOnly="true">
      <xsd:simpleType>
        <xsd:restriction base="dms:Unknown"/>
      </xsd:simpleType>
    </xsd:element>
    <xsd:element name="MediaServiceAutoTags" ma:index="31" nillable="true" ma:displayName="Tags" ma:internalName="MediaServiceAutoTags"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19842e-cb33-48b7-9156-cae6be609397" elementFormDefault="qualified">
    <xsd:import namespace="http://schemas.microsoft.com/office/2006/documentManagement/types"/>
    <xsd:import namespace="http://schemas.microsoft.com/office/infopath/2007/PartnerControls"/>
    <xsd:element name="peb8f3fab875401ca34a9f28cac46400" ma:index="34" nillable="true" ma:taxonomy="true" ma:internalName="peb8f3fab875401ca34a9f28cac46400" ma:taxonomyFieldName="SecurityClassification" ma:displayName="SecurityClassification" ma:readOnly="false" ma:fieldId="{9eb8f3fa-b875-401c-a34a-9f28cac46400}" ma:sspId="d1117845-93f6-4da3-abaa-fcb4fa669c78" ma:termSetId="cb8bbbf2-2a11-43af-a18e-40ed7c8e4b19" ma:anchorId="00000000-0000-0000-0000-000000000000" ma:open="false" ma:isKeyword="false">
      <xsd:complexType>
        <xsd:sequence>
          <xsd:element ref="pc:Terms" minOccurs="0" maxOccurs="1"/>
        </xsd:sequence>
      </xsd:complexType>
    </xsd:element>
    <xsd:element name="dlc_EmailReceivedUTC" ma:index="35" nillable="true" ma:displayName="Date Received" ma:format="DateTime" ma:internalName="dlc_EmailReceivedUTC" ma:readOnly="false">
      <xsd:simpleType>
        <xsd:restriction base="dms:DateTime"/>
      </xsd:simpleType>
    </xsd:element>
    <xsd:element name="dlc_EmailCC" ma:index="36" nillable="true" ma:displayName="CC" ma:internalName="dlc_EmailCC" ma:readOnly="false">
      <xsd:simpleType>
        <xsd:restriction base="dms:Note">
          <xsd:maxLength value="255"/>
        </xsd:restriction>
      </xsd:simpleType>
    </xsd:element>
    <xsd:element name="dlc_EmailFrom" ma:index="37" nillable="true" ma:displayName="From" ma:internalName="dlc_EmailFrom" ma:readOnly="false">
      <xsd:simpleType>
        <xsd:restriction base="dms:Text">
          <xsd:maxLength value="255"/>
        </xsd:restriction>
      </xsd:simpleType>
    </xsd:element>
    <xsd:element name="bcb1675984d34ae3a1ed6b6e433c98de" ma:index="38" nillable="true" ma:taxonomy="true" ma:internalName="bcb1675984d34ae3a1ed6b6e433c98de" ma:taxonomyFieldName="Directorate" ma:displayName="Directorate" ma:readOnly="false" ma:fieldId="{bcb16759-84d3-4ae3-a1ed-6b6e433c98de}" ma:sspId="d1117845-93f6-4da3-abaa-fcb4fa669c78" ma:termSetId="a3042207-bc74-4e42-93b3-dbb4e6115b83" ma:anchorId="00000000-0000-0000-0000-000000000000" ma:open="false" ma:isKeyword="false">
      <xsd:complexType>
        <xsd:sequence>
          <xsd:element ref="pc:Terms" minOccurs="0" maxOccurs="1"/>
        </xsd:sequence>
      </xsd:complexType>
    </xsd:element>
    <xsd:element name="dlc_EmailSentUTC" ma:index="39" nillable="true" ma:displayName="Date Sent" ma:format="DateTime" ma:internalName="dlc_EmailSentUTC" ma:readOnly="false">
      <xsd:simpleType>
        <xsd:restriction base="dms:DateTime"/>
      </xsd:simpleType>
    </xsd:element>
    <xsd:element name="dlc_EmailTo" ma:index="40" nillable="true" ma:displayName="To" ma:internalName="dlc_EmailTo" ma:readOnly="false">
      <xsd:simpleType>
        <xsd:restriction base="dms:Note"/>
      </xsd:simpleType>
    </xsd:element>
    <xsd:element name="dlc_EmailSubject" ma:index="42" nillable="true" ma:displayName="Subject" ma:internalName="dlc_EmailSubject" ma:readOnly="false">
      <xsd:simpleType>
        <xsd:restriction base="dms:Note"/>
      </xsd:simpleType>
    </xsd:element>
    <xsd:element name="SharedWithUsers" ma:index="4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14</Value>
      <Value>8</Value>
      <Value>15</Value>
      <Value>7</Value>
    </TaxCatchAll>
    <bcb1675984d34ae3a1ed6b6e433c98de xmlns="ce19842e-cb33-48b7-9156-cae6be609397">
      <Terms xmlns="http://schemas.microsoft.com/office/infopath/2007/PartnerControls"/>
    </bcb1675984d34ae3a1ed6b6e433c98d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TaxCatchAllLabel xmlns="662745e8-e224-48e8-a2e3-254862b8c2f5" xsi:nil="true"/>
    <k85d23755b3a46b5a51451cf336b2e9b xmlns="662745e8-e224-48e8-a2e3-254862b8c2f5">
      <Terms xmlns="http://schemas.microsoft.com/office/infopath/2007/PartnerControls"/>
    </k85d23755b3a46b5a51451cf336b2e9b>
    <dlc_EmailFrom xmlns="ce19842e-cb33-48b7-9156-cae6be609397" xsi:nil="true"/>
    <dlc_EmailReceivedUTC xmlns="ce19842e-cb33-48b7-9156-cae6be609397" xsi:nil="true"/>
    <peb8f3fab875401ca34a9f28cac46400 xmlns="ce19842e-cb33-48b7-9156-cae6be609397">
      <Terms xmlns="http://schemas.microsoft.com/office/infopath/2007/PartnerControls"/>
    </peb8f3fab875401ca34a9f28cac46400>
    <dlc_EmailSentUTC xmlns="ce19842e-cb33-48b7-9156-cae6be609397" xsi:nil="true"/>
    <Topic xmlns="662745e8-e224-48e8-a2e3-254862b8c2f5">Peatlands and Soil Carbon</Topic>
    <dlc_EmailTo xmlns="ce19842e-cb33-48b7-9156-cae6be609397" xsi:nil="true"/>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dlc_EmailSubject xmlns="ce19842e-cb33-48b7-9156-cae6be609397" xsi:nil="true"/>
    <dlc_EmailCC xmlns="ce19842e-cb33-48b7-9156-cae6be609397" xsi:nil="true"/>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Soils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80BBE91F-9C31-4797-9264-5E4A2772B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0ef066cc-94ac-45e1-833c-3a1ad32ad946"/>
    <ds:schemaRef ds:uri="ce19842e-cb33-48b7-9156-cae6be609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E448B4-151F-4A39-98BA-652A93F2E593}">
  <ds:schemaRefs>
    <ds:schemaRef ds:uri="http://schemas.microsoft.com/office/2006/metadata/properties"/>
    <ds:schemaRef ds:uri="http://schemas.microsoft.com/office/infopath/2007/PartnerControls"/>
    <ds:schemaRef ds:uri="5ad8c39b-6489-449f-8bc6-6709632605d1"/>
    <ds:schemaRef ds:uri="662745e8-e224-48e8-a2e3-254862b8c2f5"/>
    <ds:schemaRef ds:uri="ce19842e-cb33-48b7-9156-cae6be609397"/>
  </ds:schemaRefs>
</ds:datastoreItem>
</file>

<file path=customXml/itemProps3.xml><?xml version="1.0" encoding="utf-8"?>
<ds:datastoreItem xmlns:ds="http://schemas.openxmlformats.org/officeDocument/2006/customXml" ds:itemID="{51224440-80DA-4462-BBA8-F4BDDC14AD96}">
  <ds:schemaRefs>
    <ds:schemaRef ds:uri="http://schemas.microsoft.com/sharepoint/v3/contenttype/forms"/>
  </ds:schemaRefs>
</ds:datastoreItem>
</file>

<file path=customXml/itemProps4.xml><?xml version="1.0" encoding="utf-8"?>
<ds:datastoreItem xmlns:ds="http://schemas.openxmlformats.org/officeDocument/2006/customXml" ds:itemID="{DD61640F-5507-4111-9DFF-2066F6EA72B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DPLUS_2024_Synthesis</vt:lpstr>
      <vt:lpstr>Summary</vt:lpstr>
      <vt:lpstr>Funding</vt:lpstr>
      <vt:lpstr>Reporting</vt:lpstr>
      <vt:lpstr>Indicators</vt:lpstr>
      <vt:lpstr>Indicators not reported against</vt:lpstr>
      <vt:lpstr>Targets</vt:lpstr>
      <vt:lpstr>Explainer on targets</vt:lpstr>
      <vt:lpstr>VfM</vt:lpstr>
      <vt:lpstr>Data_2024</vt:lpstr>
      <vt:lpstr>Projects</vt:lpstr>
      <vt:lpstr>Data23_24_Synth_Combined</vt:lpstr>
      <vt:lpstr>Grant Values and Funding 23_24</vt:lpstr>
      <vt:lpstr>Data_Planned</vt:lpstr>
      <vt:lpstr>Years</vt:lpstr>
      <vt:lpstr>Rounds</vt:lpstr>
      <vt:lpstr>List</vt:lpstr>
      <vt:lpstr>Wrangling Target</vt:lpstr>
      <vt:lpstr>Wrangling Target OLD</vt:lpstr>
      <vt:lpstr>Wrangling round SI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Hargreaves (PEHR)</dc:creator>
  <cp:keywords/>
  <dc:description/>
  <cp:lastModifiedBy>Sabah Rahou</cp:lastModifiedBy>
  <cp:revision/>
  <dcterms:created xsi:type="dcterms:W3CDTF">2024-07-09T08:05:38Z</dcterms:created>
  <dcterms:modified xsi:type="dcterms:W3CDTF">2025-07-02T15:08:56Z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lyLanguageRun">
    <vt:lpwstr>true</vt:lpwstr>
  </property>
  <property fmtid="{D5CDD505-2E9C-101B-9397-08002B2CF9AE}" pid="3" name="ContentTypeId">
    <vt:lpwstr>0x010100A5BF1C78D9F64B679A5EBDE1C6598EBC0100C859425AF13DCC44AA5BC10E160BABC4</vt:lpwstr>
  </property>
  <property fmtid="{D5CDD505-2E9C-101B-9397-08002B2CF9AE}" pid="4" name="_dlc_DocIdItemGuid">
    <vt:lpwstr>732ab85c-c476-4998-a0da-d960b4bb4c9a</vt:lpwstr>
  </property>
  <property fmtid="{D5CDD505-2E9C-101B-9397-08002B2CF9AE}" pid="5" name="InformationType">
    <vt:lpwstr/>
  </property>
  <property fmtid="{D5CDD505-2E9C-101B-9397-08002B2CF9AE}" pid="6" name="Distribution">
    <vt:lpwstr>14;#External|1104eb68-55d8-494f-b6ba-c5473579de73</vt:lpwstr>
  </property>
  <property fmtid="{D5CDD505-2E9C-101B-9397-08002B2CF9AE}" pid="7" name="MediaServiceImageTags">
    <vt:lpwstr/>
  </property>
  <property fmtid="{D5CDD505-2E9C-101B-9397-08002B2CF9AE}" pid="8" name="HOCopyrightLevel">
    <vt:lpwstr>7;#Crown|69589897-2828-4761-976e-717fd8e631c9</vt:lpwstr>
  </property>
  <property fmtid="{D5CDD505-2E9C-101B-9397-08002B2CF9AE}" pid="9" name="HOGovernmentSecurityClassification">
    <vt:lpwstr>6;#Official|14c80daa-741b-422c-9722-f71693c9ede4</vt:lpwstr>
  </property>
  <property fmtid="{D5CDD505-2E9C-101B-9397-08002B2CF9AE}" pid="10" name="OrganisationalUnit">
    <vt:lpwstr>8;#Core Defra|026223dd-2e56-4615-868d-7c5bfd566810</vt:lpwstr>
  </property>
  <property fmtid="{D5CDD505-2E9C-101B-9397-08002B2CF9AE}" pid="11" name="HOSiteType">
    <vt:lpwstr>15;#Work Delivery|388f4f80-46e6-4bcd-8bd1-cea0059da8bd</vt:lpwstr>
  </property>
  <property fmtid="{D5CDD505-2E9C-101B-9397-08002B2CF9AE}" pid="12" name="NIRASScale">
    <vt:lpwstr/>
  </property>
  <property fmtid="{D5CDD505-2E9C-101B-9397-08002B2CF9AE}" pid="13" name="NIRASDocumentKind">
    <vt:lpwstr/>
  </property>
  <property fmtid="{D5CDD505-2E9C-101B-9397-08002B2CF9AE}" pid="14" name="NIRASQAStatus">
    <vt:lpwstr/>
  </property>
  <property fmtid="{D5CDD505-2E9C-101B-9397-08002B2CF9AE}" pid="15" name="NIRASQAGroup">
    <vt:lpwstr/>
  </property>
</Properties>
</file>